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AJUSTE\Permissionárias de Distribuição\2022\04- ABRIL\3-Ceres - Érika\Estrutura\"/>
    </mc:Choice>
  </mc:AlternateContent>
  <xr:revisionPtr revIDLastSave="0" documentId="13_ncr:1_{BFE64513-2085-4F82-8C24-F7C0F2A033DD}" xr6:coauthVersionLast="47" xr6:coauthVersionMax="47" xr10:uidLastSave="{00000000-0000-0000-0000-000000000000}"/>
  <bookViews>
    <workbookView xWindow="-108" yWindow="-108" windowWidth="23256" windowHeight="12576" firstSheet="22" activeTab="29" xr2:uid="{5E4E3205-FE04-4202-896C-FC445B7E6ED5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Aplicação'!$B$3:$AQ$49</definedName>
    <definedName name="DadosExternos_1" localSheetId="28" hidden="1">'TA - BE'!$B$3:$AQ$49</definedName>
    <definedName name="DadosExternos_1" localSheetId="29" hidden="1">'TA - CVA'!$B$3:$AQ$49</definedName>
  </definedNames>
  <calcPr calcId="191029" iterate="1"/>
  <pivotCaches>
    <pivotCache cacheId="75" r:id="rId31"/>
    <pivotCache cacheId="7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P11" i="5" l="1"/>
  <c r="R11" i="5" s="1"/>
  <c r="P10" i="5"/>
  <c r="P9" i="5"/>
  <c r="F43" i="5"/>
  <c r="E43" i="5"/>
  <c r="D43" i="5"/>
  <c r="F26" i="5"/>
  <c r="E26" i="5"/>
  <c r="D26" i="5"/>
  <c r="F25" i="5"/>
  <c r="E25" i="5"/>
  <c r="D25" i="5"/>
  <c r="F24" i="5"/>
  <c r="E24" i="5"/>
  <c r="D24" i="5"/>
  <c r="D13" i="5"/>
  <c r="F38" i="5"/>
  <c r="F17" i="5"/>
  <c r="F16" i="5"/>
  <c r="F12" i="5"/>
  <c r="F11" i="5"/>
  <c r="M15" i="5"/>
  <c r="M7" i="5"/>
  <c r="D35" i="5" s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R13" i="21"/>
  <c r="AE12" i="21"/>
  <c r="AD12" i="21"/>
  <c r="AE8" i="21"/>
  <c r="AD8" i="21"/>
  <c r="AC8" i="21"/>
  <c r="AB8" i="21"/>
  <c r="AA8" i="21"/>
  <c r="W8" i="21"/>
  <c r="AJ8" i="21" s="1"/>
  <c r="V8" i="21"/>
  <c r="U8" i="21"/>
  <c r="T8" i="21"/>
  <c r="S8" i="21"/>
  <c r="Y8" i="21" s="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R6" i="2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R5" i="21"/>
  <c r="AE4" i="21"/>
  <c r="AD4" i="21"/>
  <c r="AC4" i="21"/>
  <c r="AB4" i="21"/>
  <c r="AA4" i="21"/>
  <c r="W4" i="21"/>
  <c r="V4" i="21"/>
  <c r="U4" i="21"/>
  <c r="AI4" i="21" s="1"/>
  <c r="T4" i="21"/>
  <c r="S4" i="21"/>
  <c r="Y4" i="21" s="1"/>
  <c r="AG4" i="21" s="1"/>
  <c r="R4" i="21"/>
  <c r="X4" i="21" s="1"/>
  <c r="AE3" i="21"/>
  <c r="AD3" i="21"/>
  <c r="AC3" i="21"/>
  <c r="AB3" i="21"/>
  <c r="AA3" i="21"/>
  <c r="W3" i="21"/>
  <c r="V3" i="21"/>
  <c r="U3" i="21"/>
  <c r="AI3" i="21" s="1"/>
  <c r="T3" i="21"/>
  <c r="S3" i="21"/>
  <c r="R3" i="2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J278" i="21"/>
  <c r="J277" i="21"/>
  <c r="J276" i="21"/>
  <c r="M276" i="21" s="1"/>
  <c r="J275" i="21"/>
  <c r="M275" i="21" s="1"/>
  <c r="J73" i="21"/>
  <c r="J72" i="21"/>
  <c r="J71" i="21"/>
  <c r="J70" i="21"/>
  <c r="J69" i="21"/>
  <c r="J68" i="21"/>
  <c r="J67" i="21"/>
  <c r="M67" i="21" s="1"/>
  <c r="J66" i="21"/>
  <c r="M66" i="21" s="1"/>
  <c r="L65" i="21"/>
  <c r="K65" i="21"/>
  <c r="L64" i="21"/>
  <c r="K64" i="21"/>
  <c r="L63" i="21"/>
  <c r="K63" i="21"/>
  <c r="L62" i="21"/>
  <c r="O62" i="21" s="1"/>
  <c r="K62" i="21"/>
  <c r="N62" i="21" s="1"/>
  <c r="L61" i="21"/>
  <c r="K61" i="21"/>
  <c r="L60" i="21"/>
  <c r="K60" i="21"/>
  <c r="L59" i="21"/>
  <c r="K59" i="21"/>
  <c r="L58" i="21"/>
  <c r="O58" i="21" s="1"/>
  <c r="K58" i="21"/>
  <c r="N58" i="21" s="1"/>
  <c r="J57" i="21"/>
  <c r="J56" i="21"/>
  <c r="J55" i="21"/>
  <c r="J54" i="21"/>
  <c r="J53" i="21"/>
  <c r="J52" i="21"/>
  <c r="J51" i="21"/>
  <c r="M51" i="21" s="1"/>
  <c r="J50" i="21"/>
  <c r="M50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79" i="21"/>
  <c r="M278" i="21"/>
  <c r="M277" i="21"/>
  <c r="J274" i="21"/>
  <c r="M274" i="21" s="1"/>
  <c r="J273" i="21"/>
  <c r="M273" i="21" s="1"/>
  <c r="J272" i="21"/>
  <c r="M272" i="21" s="1"/>
  <c r="M271" i="21"/>
  <c r="J271" i="21"/>
  <c r="J270" i="21"/>
  <c r="M270" i="21" s="1"/>
  <c r="J269" i="21"/>
  <c r="M269" i="21" s="1"/>
  <c r="M268" i="21"/>
  <c r="J268" i="2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M252" i="21"/>
  <c r="J252" i="21"/>
  <c r="J251" i="21"/>
  <c r="M251" i="21" s="1"/>
  <c r="J250" i="21"/>
  <c r="M250" i="21" s="1"/>
  <c r="J249" i="21"/>
  <c r="M249" i="21" s="1"/>
  <c r="J248" i="21"/>
  <c r="M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34" i="21"/>
  <c r="M234" i="21" s="1"/>
  <c r="M233" i="21"/>
  <c r="J233" i="21"/>
  <c r="M232" i="21"/>
  <c r="J232" i="21"/>
  <c r="J231" i="21"/>
  <c r="M231" i="21" s="1"/>
  <c r="J230" i="21"/>
  <c r="M230" i="21" s="1"/>
  <c r="J229" i="21"/>
  <c r="M229" i="21" s="1"/>
  <c r="M228" i="21"/>
  <c r="J228" i="21"/>
  <c r="J227" i="21"/>
  <c r="M227" i="21" s="1"/>
  <c r="J226" i="21"/>
  <c r="M226" i="21" s="1"/>
  <c r="J225" i="21"/>
  <c r="M225" i="21" s="1"/>
  <c r="J224" i="21"/>
  <c r="M224" i="21" s="1"/>
  <c r="M223" i="21"/>
  <c r="J223" i="21"/>
  <c r="J222" i="21"/>
  <c r="M222" i="21" s="1"/>
  <c r="J221" i="21"/>
  <c r="M221" i="21" s="1"/>
  <c r="J220" i="21"/>
  <c r="M220" i="21" s="1"/>
  <c r="M219" i="21"/>
  <c r="J219" i="2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M208" i="21"/>
  <c r="J208" i="21"/>
  <c r="M207" i="21"/>
  <c r="J207" i="21"/>
  <c r="J206" i="21"/>
  <c r="M206" i="21" s="1"/>
  <c r="J205" i="21"/>
  <c r="M205" i="21" s="1"/>
  <c r="J204" i="21"/>
  <c r="M204" i="21" s="1"/>
  <c r="M203" i="21"/>
  <c r="J203" i="21"/>
  <c r="J202" i="21"/>
  <c r="M202" i="21" s="1"/>
  <c r="J201" i="21"/>
  <c r="M201" i="21" s="1"/>
  <c r="J200" i="21"/>
  <c r="M200" i="21" s="1"/>
  <c r="J199" i="21"/>
  <c r="M199" i="21" s="1"/>
  <c r="J198" i="21"/>
  <c r="J197" i="21"/>
  <c r="M197" i="21" s="1"/>
  <c r="J196" i="21"/>
  <c r="M196" i="21" s="1"/>
  <c r="M195" i="21"/>
  <c r="J195" i="21"/>
  <c r="J194" i="21"/>
  <c r="M194" i="21" s="1"/>
  <c r="J193" i="21"/>
  <c r="M193" i="21" s="1"/>
  <c r="J192" i="21"/>
  <c r="M192" i="21" s="1"/>
  <c r="J191" i="21"/>
  <c r="M191" i="21" s="1"/>
  <c r="J190" i="21"/>
  <c r="M190" i="21" s="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M183" i="21"/>
  <c r="J183" i="21"/>
  <c r="J182" i="21"/>
  <c r="M182" i="21" s="1"/>
  <c r="J181" i="21"/>
  <c r="M181" i="21" s="1"/>
  <c r="M180" i="21"/>
  <c r="J180" i="21"/>
  <c r="J179" i="21"/>
  <c r="M179" i="21" s="1"/>
  <c r="J178" i="21"/>
  <c r="M178" i="21" s="1"/>
  <c r="M177" i="21"/>
  <c r="J177" i="2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J169" i="21"/>
  <c r="M169" i="21" s="1"/>
  <c r="J168" i="21"/>
  <c r="M168" i="21" s="1"/>
  <c r="J167" i="21"/>
  <c r="M167" i="21" s="1"/>
  <c r="J166" i="21"/>
  <c r="M166" i="21" s="1"/>
  <c r="J165" i="21"/>
  <c r="M165" i="21" s="1"/>
  <c r="J164" i="21"/>
  <c r="M164" i="21" s="1"/>
  <c r="J163" i="21"/>
  <c r="M163" i="21" s="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J149" i="21"/>
  <c r="M149" i="21" s="1"/>
  <c r="J148" i="21"/>
  <c r="M148" i="21" s="1"/>
  <c r="J147" i="21"/>
  <c r="M147" i="21" s="1"/>
  <c r="J146" i="21"/>
  <c r="M146" i="21" s="1"/>
  <c r="J145" i="21"/>
  <c r="M145" i="21" s="1"/>
  <c r="J144" i="21"/>
  <c r="M144" i="21" s="1"/>
  <c r="J143" i="21"/>
  <c r="M143" i="21" s="1"/>
  <c r="J142" i="21"/>
  <c r="M142" i="21" s="1"/>
  <c r="M141" i="21"/>
  <c r="J141" i="21"/>
  <c r="J140" i="21"/>
  <c r="M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J133" i="21"/>
  <c r="M133" i="21" s="1"/>
  <c r="J132" i="21"/>
  <c r="M132" i="21" s="1"/>
  <c r="J131" i="21"/>
  <c r="M131" i="21" s="1"/>
  <c r="J130" i="21"/>
  <c r="M130" i="21" s="1"/>
  <c r="J129" i="21"/>
  <c r="M129" i="21" s="1"/>
  <c r="J128" i="21"/>
  <c r="M128" i="21" s="1"/>
  <c r="J127" i="21"/>
  <c r="M127" i="21" s="1"/>
  <c r="M126" i="21"/>
  <c r="J126" i="21"/>
  <c r="M125" i="21"/>
  <c r="J125" i="21"/>
  <c r="J124" i="21"/>
  <c r="M124" i="21" s="1"/>
  <c r="J123" i="21"/>
  <c r="M123" i="21" s="1"/>
  <c r="J122" i="21"/>
  <c r="M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J116" i="21"/>
  <c r="M116" i="21" s="1"/>
  <c r="J115" i="21"/>
  <c r="M115" i="21" s="1"/>
  <c r="J114" i="21"/>
  <c r="M114" i="21" s="1"/>
  <c r="J113" i="21"/>
  <c r="M113" i="21" s="1"/>
  <c r="J112" i="21"/>
  <c r="M112" i="21" s="1"/>
  <c r="J111" i="21"/>
  <c r="M111" i="21" s="1"/>
  <c r="M110" i="21"/>
  <c r="J110" i="21"/>
  <c r="M109" i="21"/>
  <c r="J109" i="21"/>
  <c r="J108" i="21"/>
  <c r="M108" i="21" s="1"/>
  <c r="J107" i="21"/>
  <c r="M107" i="21" s="1"/>
  <c r="M106" i="21"/>
  <c r="J106" i="21"/>
  <c r="J105" i="21"/>
  <c r="M105" i="21" s="1"/>
  <c r="J104" i="21"/>
  <c r="M104" i="21" s="1"/>
  <c r="M103" i="21"/>
  <c r="J103" i="21"/>
  <c r="J102" i="21"/>
  <c r="M102" i="21" s="1"/>
  <c r="M101" i="21"/>
  <c r="J101" i="21"/>
  <c r="J100" i="21"/>
  <c r="M100" i="21" s="1"/>
  <c r="J99" i="21"/>
  <c r="M99" i="21" s="1"/>
  <c r="J98" i="21"/>
  <c r="M98" i="21" s="1"/>
  <c r="J97" i="21"/>
  <c r="M97" i="21" s="1"/>
  <c r="J96" i="21"/>
  <c r="M96" i="21" s="1"/>
  <c r="J95" i="21"/>
  <c r="M95" i="21" s="1"/>
  <c r="M94" i="21"/>
  <c r="J94" i="21"/>
  <c r="J93" i="21"/>
  <c r="M93" i="21" s="1"/>
  <c r="J92" i="21"/>
  <c r="M92" i="21" s="1"/>
  <c r="J91" i="21"/>
  <c r="M91" i="21" s="1"/>
  <c r="J90" i="21"/>
  <c r="M90" i="21" s="1"/>
  <c r="J89" i="21"/>
  <c r="M89" i="21" s="1"/>
  <c r="J88" i="21"/>
  <c r="M88" i="21" s="1"/>
  <c r="J87" i="21"/>
  <c r="M87" i="21" s="1"/>
  <c r="J86" i="21"/>
  <c r="M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J79" i="21"/>
  <c r="M79" i="21" s="1"/>
  <c r="J78" i="21"/>
  <c r="M78" i="21" s="1"/>
  <c r="J77" i="21"/>
  <c r="M77" i="21" s="1"/>
  <c r="J76" i="21"/>
  <c r="M76" i="21" s="1"/>
  <c r="J75" i="21"/>
  <c r="M75" i="21" s="1"/>
  <c r="J74" i="21"/>
  <c r="M73" i="21"/>
  <c r="M72" i="21"/>
  <c r="M71" i="21"/>
  <c r="M70" i="21"/>
  <c r="M69" i="21"/>
  <c r="M68" i="21"/>
  <c r="O65" i="21"/>
  <c r="N65" i="21"/>
  <c r="O64" i="21"/>
  <c r="N64" i="21"/>
  <c r="O63" i="21"/>
  <c r="N63" i="21"/>
  <c r="O61" i="21"/>
  <c r="N61" i="21"/>
  <c r="O60" i="21"/>
  <c r="N60" i="21"/>
  <c r="O59" i="21"/>
  <c r="N59" i="21"/>
  <c r="M57" i="21"/>
  <c r="M56" i="21"/>
  <c r="M55" i="21"/>
  <c r="M54" i="21"/>
  <c r="M53" i="21"/>
  <c r="M52" i="21"/>
  <c r="J49" i="21"/>
  <c r="M49" i="21" s="1"/>
  <c r="J48" i="21"/>
  <c r="M48" i="21" s="1"/>
  <c r="J47" i="21"/>
  <c r="M47" i="21" s="1"/>
  <c r="J46" i="21"/>
  <c r="M46" i="21" s="1"/>
  <c r="L45" i="21"/>
  <c r="O45" i="21" s="1"/>
  <c r="K45" i="21"/>
  <c r="N45" i="21" s="1"/>
  <c r="L44" i="21"/>
  <c r="O44" i="21" s="1"/>
  <c r="K44" i="21"/>
  <c r="N44" i="21" s="1"/>
  <c r="L43" i="21"/>
  <c r="O43" i="21" s="1"/>
  <c r="K43" i="21"/>
  <c r="N43" i="21" s="1"/>
  <c r="O42" i="21"/>
  <c r="L42" i="21"/>
  <c r="K42" i="21"/>
  <c r="N42" i="21" s="1"/>
  <c r="J41" i="21"/>
  <c r="M41" i="21" s="1"/>
  <c r="J40" i="21"/>
  <c r="M40" i="21" s="1"/>
  <c r="M39" i="21"/>
  <c r="J39" i="21"/>
  <c r="J38" i="21"/>
  <c r="M38" i="21" s="1"/>
  <c r="J37" i="21"/>
  <c r="M37" i="21" s="1"/>
  <c r="J36" i="21"/>
  <c r="M36" i="21" s="1"/>
  <c r="J35" i="21"/>
  <c r="M35" i="21" s="1"/>
  <c r="J34" i="21"/>
  <c r="M34" i="21" s="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N25" i="21"/>
  <c r="L25" i="21"/>
  <c r="O25" i="21" s="1"/>
  <c r="K25" i="21"/>
  <c r="L24" i="21"/>
  <c r="O24" i="21" s="1"/>
  <c r="K24" i="21"/>
  <c r="N24" i="21" s="1"/>
  <c r="N23" i="21"/>
  <c r="L23" i="21"/>
  <c r="O23" i="21" s="1"/>
  <c r="K23" i="21"/>
  <c r="O22" i="21"/>
  <c r="L22" i="21"/>
  <c r="K22" i="21"/>
  <c r="N22" i="21" s="1"/>
  <c r="L21" i="21"/>
  <c r="O21" i="21" s="1"/>
  <c r="K21" i="21"/>
  <c r="N21" i="21" s="1"/>
  <c r="O20" i="21"/>
  <c r="L20" i="21"/>
  <c r="K20" i="21"/>
  <c r="N20" i="21" s="1"/>
  <c r="L19" i="21"/>
  <c r="O19" i="21" s="1"/>
  <c r="K19" i="21"/>
  <c r="N19" i="21" s="1"/>
  <c r="L18" i="21"/>
  <c r="O18" i="21" s="1"/>
  <c r="K18" i="21"/>
  <c r="N18" i="21" s="1"/>
  <c r="L17" i="21"/>
  <c r="O17" i="21" s="1"/>
  <c r="K17" i="21"/>
  <c r="N17" i="21" s="1"/>
  <c r="L16" i="21"/>
  <c r="O16" i="21" s="1"/>
  <c r="K16" i="21"/>
  <c r="N16" i="21" s="1"/>
  <c r="N15" i="21"/>
  <c r="L15" i="21"/>
  <c r="O15" i="21" s="1"/>
  <c r="K15" i="21"/>
  <c r="L14" i="21"/>
  <c r="O14" i="21" s="1"/>
  <c r="K14" i="21"/>
  <c r="N14" i="21" s="1"/>
  <c r="M13" i="21"/>
  <c r="J13" i="21"/>
  <c r="J12" i="21"/>
  <c r="M12" i="21" s="1"/>
  <c r="J11" i="21"/>
  <c r="M11" i="21" s="1"/>
  <c r="J10" i="21"/>
  <c r="M10" i="21" s="1"/>
  <c r="J9" i="21"/>
  <c r="M9" i="21" s="1"/>
  <c r="J8" i="21"/>
  <c r="M8" i="21" s="1"/>
  <c r="J7" i="21"/>
  <c r="M7" i="21" s="1"/>
  <c r="J6" i="21"/>
  <c r="M6" i="21" s="1"/>
  <c r="J5" i="21"/>
  <c r="M5" i="21" s="1"/>
  <c r="J4" i="21"/>
  <c r="M4" i="21" s="1"/>
  <c r="J3" i="21"/>
  <c r="M3" i="21" s="1"/>
  <c r="J2" i="21"/>
  <c r="X286" i="16"/>
  <c r="W286" i="16"/>
  <c r="AC286" i="16" s="1"/>
  <c r="X285" i="16"/>
  <c r="W285" i="16"/>
  <c r="X284" i="16"/>
  <c r="W284" i="16"/>
  <c r="X283" i="16"/>
  <c r="W283" i="16"/>
  <c r="X282" i="16"/>
  <c r="W282" i="16"/>
  <c r="AC282" i="16" s="1"/>
  <c r="X281" i="16"/>
  <c r="W281" i="16"/>
  <c r="X280" i="16"/>
  <c r="W280" i="16"/>
  <c r="X279" i="16"/>
  <c r="W279" i="16"/>
  <c r="X278" i="16"/>
  <c r="W278" i="16"/>
  <c r="AC278" i="16" s="1"/>
  <c r="X277" i="16"/>
  <c r="W277" i="16"/>
  <c r="X276" i="16"/>
  <c r="W276" i="16"/>
  <c r="X275" i="16"/>
  <c r="W275" i="16"/>
  <c r="AD125" i="17"/>
  <c r="X125" i="17"/>
  <c r="W125" i="17"/>
  <c r="AD124" i="17"/>
  <c r="X124" i="17"/>
  <c r="W124" i="17"/>
  <c r="AC124" i="17" s="1"/>
  <c r="AD123" i="17"/>
  <c r="X123" i="17"/>
  <c r="W123" i="17"/>
  <c r="AD122" i="17"/>
  <c r="X122" i="17"/>
  <c r="W122" i="17"/>
  <c r="AC122" i="17" s="1"/>
  <c r="AD121" i="17"/>
  <c r="X121" i="17"/>
  <c r="W121" i="17"/>
  <c r="AD120" i="17"/>
  <c r="X120" i="17"/>
  <c r="W120" i="17"/>
  <c r="AC120" i="17" s="1"/>
  <c r="AD119" i="17"/>
  <c r="X119" i="17"/>
  <c r="W119" i="17"/>
  <c r="AD118" i="17"/>
  <c r="X118" i="17"/>
  <c r="W118" i="17"/>
  <c r="AC118" i="17" s="1"/>
  <c r="AD117" i="17"/>
  <c r="X117" i="17"/>
  <c r="W117" i="17"/>
  <c r="AD116" i="17"/>
  <c r="X116" i="17"/>
  <c r="W116" i="17"/>
  <c r="AC116" i="17" s="1"/>
  <c r="AD115" i="17"/>
  <c r="X115" i="17"/>
  <c r="W115" i="17"/>
  <c r="AD114" i="17"/>
  <c r="AD11" i="21" s="1"/>
  <c r="X114" i="17"/>
  <c r="W114" i="17"/>
  <c r="AC114" i="17" s="1"/>
  <c r="X73" i="16"/>
  <c r="W73" i="16"/>
  <c r="X72" i="16"/>
  <c r="W72" i="16"/>
  <c r="X71" i="16"/>
  <c r="W71" i="16"/>
  <c r="AC71" i="16" s="1"/>
  <c r="X70" i="16"/>
  <c r="W70" i="16"/>
  <c r="X69" i="16"/>
  <c r="W69" i="16"/>
  <c r="X68" i="16"/>
  <c r="W68" i="16"/>
  <c r="X67" i="16"/>
  <c r="W67" i="16"/>
  <c r="AC67" i="16" s="1"/>
  <c r="X66" i="16"/>
  <c r="W66" i="16"/>
  <c r="V65" i="16"/>
  <c r="V64" i="16"/>
  <c r="V63" i="16"/>
  <c r="V62" i="16"/>
  <c r="V61" i="16"/>
  <c r="V60" i="16"/>
  <c r="AB60" i="16" s="1"/>
  <c r="V59" i="16"/>
  <c r="V58" i="16"/>
  <c r="AB58" i="16" s="1"/>
  <c r="X57" i="16"/>
  <c r="W57" i="16"/>
  <c r="X56" i="16"/>
  <c r="W56" i="16"/>
  <c r="X55" i="16"/>
  <c r="W55" i="16"/>
  <c r="AC55" i="16" s="1"/>
  <c r="X54" i="16"/>
  <c r="W54" i="16"/>
  <c r="X53" i="16"/>
  <c r="W53" i="16"/>
  <c r="X52" i="16"/>
  <c r="W52" i="16"/>
  <c r="X51" i="16"/>
  <c r="W51" i="16"/>
  <c r="X50" i="16"/>
  <c r="W50" i="16"/>
  <c r="AD25" i="17"/>
  <c r="X25" i="17"/>
  <c r="W25" i="17"/>
  <c r="AD24" i="17"/>
  <c r="X24" i="17"/>
  <c r="W24" i="17"/>
  <c r="AC24" i="17" s="1"/>
  <c r="AD23" i="17"/>
  <c r="X23" i="17"/>
  <c r="W23" i="17"/>
  <c r="AD22" i="17"/>
  <c r="X22" i="17"/>
  <c r="W22" i="17"/>
  <c r="AC22" i="17" s="1"/>
  <c r="AD21" i="17"/>
  <c r="X21" i="17"/>
  <c r="W21" i="17"/>
  <c r="AD20" i="17"/>
  <c r="X20" i="17"/>
  <c r="W20" i="17"/>
  <c r="AC20" i="17" s="1"/>
  <c r="AD19" i="17"/>
  <c r="X19" i="17"/>
  <c r="W19" i="17"/>
  <c r="AD18" i="17"/>
  <c r="X18" i="17"/>
  <c r="W18" i="17"/>
  <c r="AC18" i="17" s="1"/>
  <c r="AE17" i="17"/>
  <c r="V17" i="17"/>
  <c r="AB17" i="17" s="1"/>
  <c r="AE16" i="17"/>
  <c r="V16" i="17"/>
  <c r="AB16" i="17" s="1"/>
  <c r="AE15" i="17"/>
  <c r="V15" i="17"/>
  <c r="AB15" i="17" s="1"/>
  <c r="AE14" i="17"/>
  <c r="V14" i="17"/>
  <c r="AB14" i="17" s="1"/>
  <c r="AE13" i="17"/>
  <c r="V13" i="17"/>
  <c r="AB13" i="17" s="1"/>
  <c r="AE12" i="17"/>
  <c r="V12" i="17"/>
  <c r="AB12" i="17" s="1"/>
  <c r="AE11" i="17"/>
  <c r="V11" i="17"/>
  <c r="AB11" i="17" s="1"/>
  <c r="AE10" i="17"/>
  <c r="V10" i="17"/>
  <c r="AB10" i="17" s="1"/>
  <c r="AD9" i="17"/>
  <c r="X9" i="17"/>
  <c r="W9" i="17"/>
  <c r="AC9" i="17" s="1"/>
  <c r="AD8" i="17"/>
  <c r="X8" i="17"/>
  <c r="W8" i="17"/>
  <c r="AD7" i="17"/>
  <c r="X7" i="17"/>
  <c r="W7" i="17"/>
  <c r="AC7" i="17" s="1"/>
  <c r="AD6" i="17"/>
  <c r="X6" i="17"/>
  <c r="W6" i="17"/>
  <c r="AD5" i="17"/>
  <c r="X5" i="17"/>
  <c r="W5" i="17"/>
  <c r="AC5" i="17" s="1"/>
  <c r="AD4" i="17"/>
  <c r="X4" i="17"/>
  <c r="W4" i="17"/>
  <c r="AD3" i="17"/>
  <c r="X3" i="17"/>
  <c r="W3" i="17"/>
  <c r="AC3" i="17" s="1"/>
  <c r="AD2" i="17"/>
  <c r="X2" i="17"/>
  <c r="W2" i="17"/>
  <c r="M40" i="5"/>
  <c r="M39" i="5"/>
  <c r="M38" i="5"/>
  <c r="AJ9" i="17"/>
  <c r="AI9" i="17"/>
  <c r="AJ7" i="17"/>
  <c r="AI7" i="17"/>
  <c r="AJ4" i="17"/>
  <c r="AI4" i="17"/>
  <c r="AJ3" i="17"/>
  <c r="AI3" i="17"/>
  <c r="AJ2" i="17"/>
  <c r="AI2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V125" i="17"/>
  <c r="AB125" i="17" s="1"/>
  <c r="V124" i="17"/>
  <c r="AB124" i="17" s="1"/>
  <c r="V123" i="17"/>
  <c r="AB123" i="17" s="1"/>
  <c r="V122" i="17"/>
  <c r="AB122" i="17" s="1"/>
  <c r="V121" i="17"/>
  <c r="AB121" i="17" s="1"/>
  <c r="V120" i="17"/>
  <c r="AB120" i="17" s="1"/>
  <c r="V119" i="17"/>
  <c r="AB119" i="17" s="1"/>
  <c r="V118" i="17"/>
  <c r="AB118" i="17" s="1"/>
  <c r="V117" i="17"/>
  <c r="AB117" i="17" s="1"/>
  <c r="V116" i="17"/>
  <c r="AB116" i="17" s="1"/>
  <c r="V115" i="17"/>
  <c r="AB115" i="17" s="1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V25" i="17"/>
  <c r="AB25" i="17" s="1"/>
  <c r="V24" i="17"/>
  <c r="AB24" i="17" s="1"/>
  <c r="V23" i="17"/>
  <c r="AB23" i="17" s="1"/>
  <c r="V22" i="17"/>
  <c r="AB22" i="17" s="1"/>
  <c r="V21" i="17"/>
  <c r="AB21" i="17" s="1"/>
  <c r="V20" i="17"/>
  <c r="AB20" i="17" s="1"/>
  <c r="V19" i="17"/>
  <c r="AB19" i="17" s="1"/>
  <c r="V18" i="17"/>
  <c r="AB18" i="17" s="1"/>
  <c r="X17" i="17"/>
  <c r="W17" i="17"/>
  <c r="AC17" i="17" s="1"/>
  <c r="X16" i="17"/>
  <c r="W16" i="17"/>
  <c r="X15" i="17"/>
  <c r="W15" i="17"/>
  <c r="AC15" i="17" s="1"/>
  <c r="X14" i="17"/>
  <c r="W14" i="17"/>
  <c r="X13" i="17"/>
  <c r="W13" i="17"/>
  <c r="AC13" i="17" s="1"/>
  <c r="X12" i="17"/>
  <c r="W12" i="17"/>
  <c r="X11" i="17"/>
  <c r="W11" i="17"/>
  <c r="AC11" i="17" s="1"/>
  <c r="X10" i="17"/>
  <c r="W10" i="17"/>
  <c r="V9" i="17"/>
  <c r="AB9" i="17" s="1"/>
  <c r="V8" i="17"/>
  <c r="AB8" i="17" s="1"/>
  <c r="V7" i="17"/>
  <c r="AB7" i="17" s="1"/>
  <c r="V6" i="17"/>
  <c r="AB6" i="17" s="1"/>
  <c r="V5" i="17"/>
  <c r="AB5" i="17" s="1"/>
  <c r="V4" i="17"/>
  <c r="AB4" i="17" s="1"/>
  <c r="V3" i="17"/>
  <c r="AB3" i="17" s="1"/>
  <c r="V2" i="17"/>
  <c r="AB2" i="17" s="1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D286" i="16"/>
  <c r="AE285" i="16"/>
  <c r="AD285" i="16"/>
  <c r="AC285" i="16"/>
  <c r="AE284" i="16"/>
  <c r="AD284" i="16"/>
  <c r="AC284" i="16"/>
  <c r="AE283" i="16"/>
  <c r="AD283" i="16"/>
  <c r="AC283" i="16"/>
  <c r="AE282" i="16"/>
  <c r="AD282" i="16"/>
  <c r="AE281" i="16"/>
  <c r="AD281" i="16"/>
  <c r="AC281" i="16"/>
  <c r="AE280" i="16"/>
  <c r="AD280" i="16"/>
  <c r="AC280" i="16"/>
  <c r="AE279" i="16"/>
  <c r="AD279" i="16"/>
  <c r="AC279" i="16"/>
  <c r="AE278" i="16"/>
  <c r="AD278" i="16"/>
  <c r="AE277" i="16"/>
  <c r="AD277" i="16"/>
  <c r="AC277" i="16"/>
  <c r="AE276" i="16"/>
  <c r="AD276" i="16"/>
  <c r="AC276" i="16"/>
  <c r="AE275" i="16"/>
  <c r="AD275" i="16"/>
  <c r="AC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E73" i="16"/>
  <c r="AD73" i="16"/>
  <c r="AC73" i="16"/>
  <c r="AE72" i="16"/>
  <c r="AD72" i="16"/>
  <c r="AC72" i="16"/>
  <c r="AE71" i="16"/>
  <c r="AD71" i="16"/>
  <c r="AE70" i="16"/>
  <c r="AD70" i="16"/>
  <c r="AC70" i="16"/>
  <c r="AE69" i="16"/>
  <c r="AD69" i="16"/>
  <c r="AC69" i="16"/>
  <c r="AE68" i="16"/>
  <c r="AD68" i="16"/>
  <c r="AC68" i="16"/>
  <c r="AE67" i="16"/>
  <c r="AD67" i="16"/>
  <c r="AE66" i="16"/>
  <c r="AD66" i="16"/>
  <c r="AC66" i="16"/>
  <c r="AG65" i="16"/>
  <c r="AF65" i="16"/>
  <c r="AB65" i="16"/>
  <c r="AG64" i="16"/>
  <c r="AF64" i="16"/>
  <c r="AB64" i="16"/>
  <c r="AG63" i="16"/>
  <c r="AF63" i="16"/>
  <c r="AB63" i="16"/>
  <c r="AG62" i="16"/>
  <c r="AF62" i="16"/>
  <c r="AB62" i="16"/>
  <c r="AG61" i="16"/>
  <c r="AF61" i="16"/>
  <c r="AB61" i="16"/>
  <c r="AG60" i="16"/>
  <c r="AF60" i="16"/>
  <c r="AG59" i="16"/>
  <c r="AF59" i="16"/>
  <c r="AB59" i="16"/>
  <c r="AG58" i="16"/>
  <c r="AF58" i="16"/>
  <c r="AE57" i="16"/>
  <c r="AD57" i="16"/>
  <c r="AC57" i="16"/>
  <c r="AE56" i="16"/>
  <c r="AD56" i="16"/>
  <c r="AC56" i="16"/>
  <c r="AE55" i="16"/>
  <c r="AD55" i="16"/>
  <c r="AE54" i="16"/>
  <c r="AD54" i="16"/>
  <c r="AC54" i="16"/>
  <c r="AE53" i="16"/>
  <c r="AD53" i="16"/>
  <c r="AC53" i="16"/>
  <c r="AE52" i="16"/>
  <c r="AD52" i="16"/>
  <c r="AC52" i="16"/>
  <c r="AE51" i="16"/>
  <c r="AD51" i="16"/>
  <c r="AC51" i="16"/>
  <c r="AE50" i="16"/>
  <c r="AD50" i="16"/>
  <c r="AC50" i="16"/>
  <c r="AE49" i="16"/>
  <c r="AE48" i="16"/>
  <c r="AE47" i="16"/>
  <c r="AE46" i="16"/>
  <c r="AG45" i="16"/>
  <c r="AF45" i="16"/>
  <c r="AG44" i="16"/>
  <c r="AF44" i="16"/>
  <c r="AG43" i="16"/>
  <c r="AF43" i="16"/>
  <c r="AG42" i="16"/>
  <c r="AF42" i="16"/>
  <c r="AE41" i="16"/>
  <c r="AE40" i="16"/>
  <c r="AE39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V286" i="16"/>
  <c r="AB286" i="16" s="1"/>
  <c r="V285" i="16"/>
  <c r="AB285" i="16" s="1"/>
  <c r="V284" i="16"/>
  <c r="AB284" i="16" s="1"/>
  <c r="V283" i="16"/>
  <c r="AB283" i="16" s="1"/>
  <c r="V282" i="16"/>
  <c r="AB282" i="16" s="1"/>
  <c r="V281" i="16"/>
  <c r="AB281" i="16" s="1"/>
  <c r="V280" i="16"/>
  <c r="AB280" i="16" s="1"/>
  <c r="V279" i="16"/>
  <c r="AB279" i="16" s="1"/>
  <c r="V278" i="16"/>
  <c r="AB278" i="16" s="1"/>
  <c r="V277" i="16"/>
  <c r="AB277" i="16" s="1"/>
  <c r="V276" i="16"/>
  <c r="AB276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V73" i="16"/>
  <c r="AB73" i="16" s="1"/>
  <c r="V72" i="16"/>
  <c r="AB72" i="16" s="1"/>
  <c r="V71" i="16"/>
  <c r="AB71" i="16" s="1"/>
  <c r="V70" i="16"/>
  <c r="AB70" i="16" s="1"/>
  <c r="V69" i="16"/>
  <c r="AB69" i="16" s="1"/>
  <c r="V68" i="16"/>
  <c r="AB68" i="16" s="1"/>
  <c r="V67" i="16"/>
  <c r="AB67" i="16" s="1"/>
  <c r="V66" i="16"/>
  <c r="AB66" i="16" s="1"/>
  <c r="X65" i="16"/>
  <c r="AD65" i="16" s="1"/>
  <c r="W65" i="16"/>
  <c r="AC65" i="16" s="1"/>
  <c r="X64" i="16"/>
  <c r="AD64" i="16" s="1"/>
  <c r="W64" i="16"/>
  <c r="AC64" i="16" s="1"/>
  <c r="X63" i="16"/>
  <c r="AD63" i="16" s="1"/>
  <c r="W63" i="16"/>
  <c r="AC63" i="16" s="1"/>
  <c r="X62" i="16"/>
  <c r="AD62" i="16" s="1"/>
  <c r="W62" i="16"/>
  <c r="AC62" i="16" s="1"/>
  <c r="X61" i="16"/>
  <c r="AD61" i="16" s="1"/>
  <c r="W61" i="16"/>
  <c r="AC61" i="16" s="1"/>
  <c r="X60" i="16"/>
  <c r="AD60" i="16" s="1"/>
  <c r="W60" i="16"/>
  <c r="AC60" i="16" s="1"/>
  <c r="X59" i="16"/>
  <c r="AD59" i="16" s="1"/>
  <c r="W59" i="16"/>
  <c r="AC59" i="16" s="1"/>
  <c r="X58" i="16"/>
  <c r="AD58" i="16" s="1"/>
  <c r="W58" i="16"/>
  <c r="AC58" i="16" s="1"/>
  <c r="V57" i="16"/>
  <c r="AB57" i="16" s="1"/>
  <c r="V56" i="16"/>
  <c r="AB56" i="16" s="1"/>
  <c r="V55" i="16"/>
  <c r="AB55" i="16" s="1"/>
  <c r="V54" i="16"/>
  <c r="AB54" i="16" s="1"/>
  <c r="V53" i="16"/>
  <c r="AB53" i="16" s="1"/>
  <c r="V52" i="16"/>
  <c r="AB52" i="16" s="1"/>
  <c r="V51" i="16"/>
  <c r="AB51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W46" i="13"/>
  <c r="U46" i="13"/>
  <c r="S46" i="13"/>
  <c r="O46" i="13"/>
  <c r="N46" i="13"/>
  <c r="M46" i="13"/>
  <c r="U45" i="13"/>
  <c r="T45" i="13"/>
  <c r="S45" i="13"/>
  <c r="O45" i="13"/>
  <c r="N45" i="13"/>
  <c r="M45" i="13"/>
  <c r="W44" i="13"/>
  <c r="U44" i="13"/>
  <c r="T44" i="13"/>
  <c r="S44" i="13"/>
  <c r="O44" i="13"/>
  <c r="N44" i="13"/>
  <c r="M44" i="13"/>
  <c r="W46" i="12"/>
  <c r="U46" i="12"/>
  <c r="S46" i="12"/>
  <c r="O46" i="12"/>
  <c r="N46" i="12"/>
  <c r="M46" i="12"/>
  <c r="U45" i="12"/>
  <c r="T45" i="12"/>
  <c r="S45" i="12"/>
  <c r="O45" i="12"/>
  <c r="N45" i="12"/>
  <c r="M45" i="12"/>
  <c r="W44" i="12"/>
  <c r="U44" i="12"/>
  <c r="U48" i="12" s="1"/>
  <c r="T44" i="12"/>
  <c r="T48" i="12" s="1"/>
  <c r="S44" i="12"/>
  <c r="S48" i="12" s="1"/>
  <c r="O44" i="12"/>
  <c r="O48" i="12" s="1"/>
  <c r="N44" i="12"/>
  <c r="N48" i="12" s="1"/>
  <c r="M44" i="12"/>
  <c r="M48" i="12" s="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W46" i="11"/>
  <c r="U46" i="11"/>
  <c r="S46" i="11"/>
  <c r="O46" i="11"/>
  <c r="N46" i="11"/>
  <c r="M46" i="11"/>
  <c r="U45" i="11"/>
  <c r="T45" i="11"/>
  <c r="S45" i="11"/>
  <c r="O45" i="11"/>
  <c r="N45" i="11"/>
  <c r="M45" i="11"/>
  <c r="W44" i="11"/>
  <c r="U44" i="11"/>
  <c r="U48" i="11" s="1"/>
  <c r="T44" i="11"/>
  <c r="T48" i="11" s="1"/>
  <c r="S44" i="11"/>
  <c r="S48" i="11" s="1"/>
  <c r="O44" i="11"/>
  <c r="O48" i="11" s="1"/>
  <c r="N44" i="11"/>
  <c r="N48" i="11" s="1"/>
  <c r="M44" i="11"/>
  <c r="M48" i="11" s="1"/>
  <c r="W46" i="10"/>
  <c r="W44" i="10"/>
  <c r="U46" i="10"/>
  <c r="U45" i="10"/>
  <c r="U44" i="10"/>
  <c r="T45" i="10"/>
  <c r="T44" i="10"/>
  <c r="S46" i="10"/>
  <c r="S45" i="10"/>
  <c r="S44" i="10"/>
  <c r="Q47" i="10"/>
  <c r="O46" i="10"/>
  <c r="O45" i="10"/>
  <c r="O44" i="10"/>
  <c r="N46" i="10"/>
  <c r="N45" i="10"/>
  <c r="N44" i="10"/>
  <c r="M46" i="10"/>
  <c r="M45" i="10"/>
  <c r="M44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4" i="10"/>
  <c r="Y13" i="10"/>
  <c r="Y12" i="10"/>
  <c r="Y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4" i="10"/>
  <c r="S13" i="10"/>
  <c r="S12" i="10"/>
  <c r="S11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4" i="10"/>
  <c r="Q13" i="10"/>
  <c r="Q12" i="10"/>
  <c r="Q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Z49" i="7"/>
  <c r="AG48" i="7"/>
  <c r="AA48" i="7"/>
  <c r="Z48" i="7"/>
  <c r="AG47" i="7"/>
  <c r="AA47" i="7"/>
  <c r="Z47" i="7"/>
  <c r="AG46" i="7"/>
  <c r="AA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Z33" i="7"/>
  <c r="AG32" i="7"/>
  <c r="AA32" i="7"/>
  <c r="Z32" i="7"/>
  <c r="AG31" i="7"/>
  <c r="AA31" i="7"/>
  <c r="Z31" i="7"/>
  <c r="AG30" i="7"/>
  <c r="AA30" i="7"/>
  <c r="Z30" i="7"/>
  <c r="AG29" i="7"/>
  <c r="Z29" i="7"/>
  <c r="AG28" i="7"/>
  <c r="AA28" i="7"/>
  <c r="Z28" i="7"/>
  <c r="AG27" i="7"/>
  <c r="AA27" i="7"/>
  <c r="Z27" i="7"/>
  <c r="AG26" i="7"/>
  <c r="AA26" i="7"/>
  <c r="Z26" i="7"/>
  <c r="AG25" i="7"/>
  <c r="Z25" i="7"/>
  <c r="AG24" i="7"/>
  <c r="AA24" i="7"/>
  <c r="Z24" i="7"/>
  <c r="AG23" i="7"/>
  <c r="AA23" i="7"/>
  <c r="Z23" i="7"/>
  <c r="AG22" i="7"/>
  <c r="AA22" i="7"/>
  <c r="Z22" i="7"/>
  <c r="AG21" i="7"/>
  <c r="Z21" i="7"/>
  <c r="AG20" i="7"/>
  <c r="AA20" i="7"/>
  <c r="Z20" i="7"/>
  <c r="AG19" i="7"/>
  <c r="Z19" i="7"/>
  <c r="AG18" i="7"/>
  <c r="AA18" i="7"/>
  <c r="Z18" i="7"/>
  <c r="AG17" i="7"/>
  <c r="Z17" i="7"/>
  <c r="AG16" i="7"/>
  <c r="AA16" i="7"/>
  <c r="Z16" i="7"/>
  <c r="AG15" i="7"/>
  <c r="Z15" i="7"/>
  <c r="AG14" i="7"/>
  <c r="AA14" i="7"/>
  <c r="Z14" i="7"/>
  <c r="AG13" i="7"/>
  <c r="Z13" i="7"/>
  <c r="AG12" i="7"/>
  <c r="AA12" i="7"/>
  <c r="Z12" i="7"/>
  <c r="AG11" i="7"/>
  <c r="Z11" i="7"/>
  <c r="AG10" i="7"/>
  <c r="AA10" i="7"/>
  <c r="Z10" i="7"/>
  <c r="AG9" i="7"/>
  <c r="Z9" i="7"/>
  <c r="AG8" i="7"/>
  <c r="AA8" i="7"/>
  <c r="Z8" i="7"/>
  <c r="AG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I57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R54" i="7" s="1"/>
  <c r="Q58" i="6"/>
  <c r="Q57" i="6"/>
  <c r="Q56" i="6"/>
  <c r="Q54" i="7" s="1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D44" i="5"/>
  <c r="F28" i="5"/>
  <c r="AJ56" i="6"/>
  <c r="AI58" i="6"/>
  <c r="AI56" i="6"/>
  <c r="AH56" i="6"/>
  <c r="W56" i="6"/>
  <c r="F40" i="5"/>
  <c r="Z58" i="6"/>
  <c r="U56" i="7"/>
  <c r="F44" i="5"/>
  <c r="E44" i="5"/>
  <c r="F42" i="5"/>
  <c r="D42" i="5"/>
  <c r="E40" i="5"/>
  <c r="D40" i="5"/>
  <c r="F23" i="5"/>
  <c r="D23" i="5"/>
  <c r="AG56" i="6" s="1"/>
  <c r="F20" i="5"/>
  <c r="E20" i="5"/>
  <c r="D20" i="5"/>
  <c r="AD56" i="6" s="1"/>
  <c r="F18" i="5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D10" i="21" l="1"/>
  <c r="AC6" i="17"/>
  <c r="AC19" i="17"/>
  <c r="AC115" i="17"/>
  <c r="AC123" i="17"/>
  <c r="U4" i="3"/>
  <c r="U6" i="3"/>
  <c r="U8" i="3"/>
  <c r="I11" i="23" s="1"/>
  <c r="U11" i="3"/>
  <c r="I14" i="8" s="1"/>
  <c r="U12" i="3"/>
  <c r="U14" i="3"/>
  <c r="U16" i="3"/>
  <c r="U18" i="3"/>
  <c r="U20" i="3"/>
  <c r="U22" i="3"/>
  <c r="U24" i="3"/>
  <c r="I27" i="23" s="1"/>
  <c r="U26" i="3"/>
  <c r="U30" i="3"/>
  <c r="U32" i="3"/>
  <c r="U34" i="3"/>
  <c r="U38" i="3"/>
  <c r="U40" i="3"/>
  <c r="U42" i="3"/>
  <c r="U44" i="3"/>
  <c r="I47" i="7" s="1"/>
  <c r="M68" i="6" s="1"/>
  <c r="U46" i="3"/>
  <c r="I49" i="7" s="1"/>
  <c r="U48" i="3"/>
  <c r="U3" i="4"/>
  <c r="U5" i="4"/>
  <c r="U7" i="4"/>
  <c r="U9" i="4"/>
  <c r="U11" i="4"/>
  <c r="U13" i="4"/>
  <c r="P14" i="5" s="1"/>
  <c r="P17" i="5" s="1"/>
  <c r="U15" i="4"/>
  <c r="U17" i="4"/>
  <c r="U19" i="4"/>
  <c r="U21" i="4"/>
  <c r="U23" i="4"/>
  <c r="U25" i="4"/>
  <c r="U27" i="4"/>
  <c r="U29" i="4"/>
  <c r="I32" i="24" s="1"/>
  <c r="U31" i="4"/>
  <c r="U33" i="4"/>
  <c r="U35" i="4"/>
  <c r="U37" i="4"/>
  <c r="AA12" i="21"/>
  <c r="AJ4" i="21"/>
  <c r="AI8" i="21"/>
  <c r="U10" i="3"/>
  <c r="I13" i="9" s="1"/>
  <c r="AD9" i="21"/>
  <c r="AC4" i="17"/>
  <c r="AC25" i="17"/>
  <c r="AC121" i="17"/>
  <c r="X3" i="21"/>
  <c r="AF3" i="21" s="1"/>
  <c r="U2" i="3"/>
  <c r="U28" i="3"/>
  <c r="U36" i="3"/>
  <c r="I39" i="8" s="1"/>
  <c r="AM57" i="7"/>
  <c r="X6" i="21"/>
  <c r="AF6" i="21" s="1"/>
  <c r="AC2" i="17"/>
  <c r="AC23" i="17"/>
  <c r="AC119" i="17"/>
  <c r="Y13" i="21"/>
  <c r="AG13" i="21" s="1"/>
  <c r="U3" i="3"/>
  <c r="U5" i="3"/>
  <c r="I8" i="7" s="1"/>
  <c r="U7" i="3"/>
  <c r="I10" i="6" s="1"/>
  <c r="U9" i="3"/>
  <c r="U13" i="3"/>
  <c r="U15" i="3"/>
  <c r="U17" i="3"/>
  <c r="I20" i="7" s="1"/>
  <c r="U19" i="3"/>
  <c r="U21" i="3"/>
  <c r="U23" i="3"/>
  <c r="I26" i="14" s="1"/>
  <c r="U25" i="3"/>
  <c r="I28" i="23" s="1"/>
  <c r="U29" i="3"/>
  <c r="U31" i="3"/>
  <c r="U37" i="3"/>
  <c r="U39" i="3"/>
  <c r="I42" i="6" s="1"/>
  <c r="U41" i="3"/>
  <c r="U45" i="3"/>
  <c r="U47" i="3"/>
  <c r="I50" i="7" s="1"/>
  <c r="U2" i="4"/>
  <c r="I5" i="24" s="1"/>
  <c r="U4" i="4"/>
  <c r="U6" i="4"/>
  <c r="U8" i="4"/>
  <c r="U10" i="4"/>
  <c r="I13" i="24" s="1"/>
  <c r="U12" i="4"/>
  <c r="U14" i="4"/>
  <c r="U16" i="4"/>
  <c r="I19" i="24" s="1"/>
  <c r="U18" i="4"/>
  <c r="I21" i="12" s="1"/>
  <c r="U20" i="4"/>
  <c r="U22" i="4"/>
  <c r="U24" i="4"/>
  <c r="U26" i="4"/>
  <c r="U28" i="4"/>
  <c r="U30" i="4"/>
  <c r="U32" i="4"/>
  <c r="I35" i="11" s="1"/>
  <c r="U34" i="4"/>
  <c r="U36" i="4"/>
  <c r="U38" i="4"/>
  <c r="AI5" i="17"/>
  <c r="U27" i="3"/>
  <c r="U33" i="3"/>
  <c r="U35" i="3"/>
  <c r="AC8" i="17"/>
  <c r="AC21" i="17"/>
  <c r="AC117" i="17"/>
  <c r="AC125" i="17"/>
  <c r="Z4" i="21"/>
  <c r="I10" i="7"/>
  <c r="I10" i="9"/>
  <c r="I18" i="23"/>
  <c r="I18" i="14"/>
  <c r="I18" i="8"/>
  <c r="I18" i="6"/>
  <c r="I18" i="7"/>
  <c r="I18" i="9"/>
  <c r="I32" i="23"/>
  <c r="I32" i="14"/>
  <c r="I32" i="9"/>
  <c r="I32" i="8"/>
  <c r="I32" i="7"/>
  <c r="I32" i="6"/>
  <c r="I42" i="14"/>
  <c r="I42" i="8"/>
  <c r="I42" i="7"/>
  <c r="I7" i="24"/>
  <c r="I7" i="11"/>
  <c r="I7" i="13"/>
  <c r="I7" i="12"/>
  <c r="I7" i="10"/>
  <c r="I13" i="13"/>
  <c r="I13" i="12"/>
  <c r="I46" i="23"/>
  <c r="I46" i="14"/>
  <c r="I46" i="9"/>
  <c r="I46" i="8"/>
  <c r="I46" i="6"/>
  <c r="I46" i="7"/>
  <c r="I24" i="23"/>
  <c r="I24" i="14"/>
  <c r="I24" i="9"/>
  <c r="I24" i="7"/>
  <c r="I24" i="8"/>
  <c r="I24" i="6"/>
  <c r="I40" i="23"/>
  <c r="I40" i="14"/>
  <c r="I40" i="8"/>
  <c r="I40" i="7"/>
  <c r="I40" i="6"/>
  <c r="I40" i="9"/>
  <c r="I5" i="13"/>
  <c r="I21" i="10"/>
  <c r="I21" i="13"/>
  <c r="I36" i="23"/>
  <c r="AI88" i="23" s="1"/>
  <c r="I36" i="14"/>
  <c r="I36" i="9"/>
  <c r="I36" i="7"/>
  <c r="I36" i="8"/>
  <c r="I36" i="6"/>
  <c r="I6" i="23"/>
  <c r="AX58" i="23" s="1"/>
  <c r="I6" i="14"/>
  <c r="I6" i="9"/>
  <c r="I6" i="6"/>
  <c r="I6" i="8"/>
  <c r="I6" i="7"/>
  <c r="I20" i="23"/>
  <c r="AK72" i="23" s="1"/>
  <c r="I20" i="14"/>
  <c r="I20" i="8"/>
  <c r="I20" i="6"/>
  <c r="I14" i="9"/>
  <c r="I14" i="6"/>
  <c r="I14" i="7"/>
  <c r="I21" i="23"/>
  <c r="AQ73" i="23" s="1"/>
  <c r="I21" i="14"/>
  <c r="I21" i="7"/>
  <c r="I21" i="9"/>
  <c r="I21" i="8"/>
  <c r="I21" i="6"/>
  <c r="I25" i="23"/>
  <c r="I25" i="14"/>
  <c r="I25" i="9"/>
  <c r="I25" i="7"/>
  <c r="I25" i="8"/>
  <c r="I25" i="6"/>
  <c r="I33" i="23"/>
  <c r="BB85" i="23" s="1"/>
  <c r="I33" i="14"/>
  <c r="I33" i="7"/>
  <c r="I33" i="9"/>
  <c r="I33" i="8"/>
  <c r="I33" i="6"/>
  <c r="I45" i="23"/>
  <c r="BA97" i="23" s="1"/>
  <c r="I45" i="14"/>
  <c r="I45" i="9"/>
  <c r="I45" i="7"/>
  <c r="I45" i="8"/>
  <c r="I45" i="6"/>
  <c r="I49" i="23"/>
  <c r="AS101" i="23" s="1"/>
  <c r="I49" i="14"/>
  <c r="I49" i="6"/>
  <c r="I49" i="9"/>
  <c r="I10" i="24"/>
  <c r="I10" i="13"/>
  <c r="I10" i="12"/>
  <c r="I10" i="11"/>
  <c r="I10" i="10"/>
  <c r="I12" i="24"/>
  <c r="I12" i="13"/>
  <c r="I12" i="12"/>
  <c r="I12" i="11"/>
  <c r="I12" i="10"/>
  <c r="I14" i="24"/>
  <c r="W56" i="24" s="1"/>
  <c r="I14" i="11"/>
  <c r="I14" i="13"/>
  <c r="I14" i="12"/>
  <c r="I14" i="10"/>
  <c r="I20" i="24"/>
  <c r="I20" i="13"/>
  <c r="I20" i="12"/>
  <c r="I20" i="11"/>
  <c r="I20" i="10"/>
  <c r="I22" i="24"/>
  <c r="I22" i="11"/>
  <c r="I22" i="13"/>
  <c r="I22" i="12"/>
  <c r="I22" i="10"/>
  <c r="I24" i="24"/>
  <c r="Z66" i="24" s="1"/>
  <c r="I24" i="11"/>
  <c r="I24" i="10"/>
  <c r="I24" i="13"/>
  <c r="I24" i="12"/>
  <c r="I26" i="24"/>
  <c r="AB68" i="24" s="1"/>
  <c r="I26" i="13"/>
  <c r="I26" i="12"/>
  <c r="I26" i="10"/>
  <c r="I26" i="11"/>
  <c r="I28" i="24"/>
  <c r="I28" i="13"/>
  <c r="I28" i="12"/>
  <c r="I28" i="11"/>
  <c r="I28" i="10"/>
  <c r="I30" i="24"/>
  <c r="I30" i="11"/>
  <c r="I30" i="13"/>
  <c r="I30" i="12"/>
  <c r="I30" i="10"/>
  <c r="I32" i="10"/>
  <c r="I34" i="24"/>
  <c r="AB76" i="24" s="1"/>
  <c r="I34" i="13"/>
  <c r="I34" i="12"/>
  <c r="I34" i="10"/>
  <c r="I34" i="11"/>
  <c r="I36" i="24"/>
  <c r="I36" i="13"/>
  <c r="I36" i="12"/>
  <c r="I36" i="11"/>
  <c r="I36" i="10"/>
  <c r="I38" i="24"/>
  <c r="I38" i="11"/>
  <c r="I38" i="13"/>
  <c r="I38" i="12"/>
  <c r="I38" i="10"/>
  <c r="I40" i="24"/>
  <c r="AB82" i="24" s="1"/>
  <c r="I40" i="11"/>
  <c r="I40" i="13"/>
  <c r="I40" i="12"/>
  <c r="I40" i="10"/>
  <c r="I8" i="8"/>
  <c r="I22" i="23"/>
  <c r="I22" i="14"/>
  <c r="I22" i="9"/>
  <c r="I22" i="8"/>
  <c r="I22" i="6"/>
  <c r="I22" i="7"/>
  <c r="I17" i="23"/>
  <c r="I17" i="14"/>
  <c r="I17" i="8"/>
  <c r="I17" i="6"/>
  <c r="I17" i="7"/>
  <c r="I17" i="9"/>
  <c r="I23" i="23"/>
  <c r="BC75" i="23" s="1"/>
  <c r="I23" i="14"/>
  <c r="I23" i="9"/>
  <c r="I23" i="8"/>
  <c r="I23" i="7"/>
  <c r="I23" i="6"/>
  <c r="I27" i="7"/>
  <c r="I37" i="23"/>
  <c r="I37" i="14"/>
  <c r="I37" i="7"/>
  <c r="I37" i="8"/>
  <c r="I37" i="6"/>
  <c r="I37" i="9"/>
  <c r="I43" i="23"/>
  <c r="AR95" i="23" s="1"/>
  <c r="I43" i="14"/>
  <c r="I43" i="9"/>
  <c r="I43" i="8"/>
  <c r="I43" i="6"/>
  <c r="I43" i="7"/>
  <c r="I8" i="24"/>
  <c r="I8" i="11"/>
  <c r="I8" i="10"/>
  <c r="I8" i="13"/>
  <c r="I8" i="12"/>
  <c r="I18" i="24"/>
  <c r="I18" i="13"/>
  <c r="I18" i="12"/>
  <c r="I18" i="10"/>
  <c r="I18" i="11"/>
  <c r="I5" i="23"/>
  <c r="AX57" i="23" s="1"/>
  <c r="I5" i="14"/>
  <c r="I5" i="7"/>
  <c r="I5" i="9"/>
  <c r="I5" i="6"/>
  <c r="I5" i="8"/>
  <c r="I13" i="7"/>
  <c r="I9" i="23"/>
  <c r="I9" i="14"/>
  <c r="I9" i="6"/>
  <c r="I9" i="8"/>
  <c r="I9" i="7"/>
  <c r="I9" i="9"/>
  <c r="I15" i="23"/>
  <c r="I15" i="14"/>
  <c r="I15" i="9"/>
  <c r="I15" i="6"/>
  <c r="I15" i="8"/>
  <c r="I15" i="7"/>
  <c r="I29" i="23"/>
  <c r="AY81" i="23" s="1"/>
  <c r="I29" i="14"/>
  <c r="I29" i="7"/>
  <c r="I29" i="9"/>
  <c r="I29" i="8"/>
  <c r="I29" i="6"/>
  <c r="I35" i="23"/>
  <c r="I35" i="14"/>
  <c r="I35" i="9"/>
  <c r="I35" i="8"/>
  <c r="I35" i="6"/>
  <c r="I35" i="7"/>
  <c r="I47" i="6"/>
  <c r="I51" i="23"/>
  <c r="I51" i="14"/>
  <c r="I51" i="9"/>
  <c r="I51" i="8"/>
  <c r="I51" i="6"/>
  <c r="I51" i="7"/>
  <c r="I31" i="23"/>
  <c r="AS83" i="23" s="1"/>
  <c r="I31" i="14"/>
  <c r="I31" i="9"/>
  <c r="I31" i="8"/>
  <c r="I31" i="6"/>
  <c r="I31" i="7"/>
  <c r="I39" i="9"/>
  <c r="I12" i="23"/>
  <c r="AM64" i="23" s="1"/>
  <c r="I12" i="14"/>
  <c r="I12" i="7"/>
  <c r="I12" i="9"/>
  <c r="I12" i="6"/>
  <c r="I12" i="8"/>
  <c r="I7" i="23"/>
  <c r="I7" i="14"/>
  <c r="I7" i="9"/>
  <c r="I7" i="6"/>
  <c r="I7" i="8"/>
  <c r="I7" i="7"/>
  <c r="I19" i="23"/>
  <c r="I19" i="14"/>
  <c r="I19" i="8"/>
  <c r="I19" i="6"/>
  <c r="I19" i="7"/>
  <c r="I19" i="9"/>
  <c r="I41" i="23"/>
  <c r="I41" i="14"/>
  <c r="I41" i="7"/>
  <c r="I41" i="8"/>
  <c r="I41" i="6"/>
  <c r="I41" i="9"/>
  <c r="I6" i="24"/>
  <c r="I6" i="11"/>
  <c r="I6" i="13"/>
  <c r="I6" i="12"/>
  <c r="I6" i="10"/>
  <c r="I28" i="14"/>
  <c r="I28" i="7"/>
  <c r="I28" i="9"/>
  <c r="I28" i="6"/>
  <c r="I34" i="23"/>
  <c r="AM86" i="23" s="1"/>
  <c r="I34" i="14"/>
  <c r="I34" i="9"/>
  <c r="I34" i="8"/>
  <c r="I34" i="6"/>
  <c r="I34" i="7"/>
  <c r="I48" i="23"/>
  <c r="I48" i="14"/>
  <c r="I48" i="8"/>
  <c r="I48" i="7"/>
  <c r="I48" i="6"/>
  <c r="I48" i="9"/>
  <c r="I9" i="24"/>
  <c r="AF51" i="24" s="1"/>
  <c r="I9" i="11"/>
  <c r="I9" i="13"/>
  <c r="I9" i="12"/>
  <c r="I9" i="10"/>
  <c r="I15" i="24"/>
  <c r="I15" i="11"/>
  <c r="I15" i="13"/>
  <c r="I15" i="12"/>
  <c r="I15" i="10"/>
  <c r="I17" i="24"/>
  <c r="I17" i="11"/>
  <c r="I17" i="13"/>
  <c r="I17" i="12"/>
  <c r="I17" i="10"/>
  <c r="I23" i="24"/>
  <c r="AD65" i="24" s="1"/>
  <c r="I23" i="11"/>
  <c r="I23" i="13"/>
  <c r="I23" i="12"/>
  <c r="I23" i="10"/>
  <c r="I25" i="24"/>
  <c r="AD67" i="24" s="1"/>
  <c r="I25" i="11"/>
  <c r="I25" i="13"/>
  <c r="I25" i="12"/>
  <c r="I25" i="10"/>
  <c r="I27" i="24"/>
  <c r="I27" i="13"/>
  <c r="I27" i="12"/>
  <c r="I27" i="11"/>
  <c r="I27" i="10"/>
  <c r="I29" i="24"/>
  <c r="W71" i="24" s="1"/>
  <c r="I29" i="10"/>
  <c r="I29" i="13"/>
  <c r="I29" i="12"/>
  <c r="I29" i="11"/>
  <c r="I31" i="24"/>
  <c r="I31" i="11"/>
  <c r="I31" i="13"/>
  <c r="I31" i="12"/>
  <c r="I31" i="10"/>
  <c r="I33" i="24"/>
  <c r="X75" i="24" s="1"/>
  <c r="I33" i="11"/>
  <c r="I33" i="13"/>
  <c r="I33" i="12"/>
  <c r="I33" i="10"/>
  <c r="I35" i="12"/>
  <c r="I37" i="24"/>
  <c r="X79" i="24" s="1"/>
  <c r="I37" i="10"/>
  <c r="I37" i="13"/>
  <c r="I37" i="12"/>
  <c r="I37" i="11"/>
  <c r="I39" i="24"/>
  <c r="X81" i="24" s="1"/>
  <c r="I39" i="11"/>
  <c r="I39" i="13"/>
  <c r="I39" i="12"/>
  <c r="I39" i="10"/>
  <c r="I41" i="24"/>
  <c r="AF83" i="24" s="1"/>
  <c r="I41" i="11"/>
  <c r="I41" i="13"/>
  <c r="I41" i="12"/>
  <c r="I41" i="10"/>
  <c r="I16" i="23"/>
  <c r="I16" i="9"/>
  <c r="I16" i="6"/>
  <c r="I16" i="8"/>
  <c r="I16" i="14"/>
  <c r="I16" i="7"/>
  <c r="I26" i="23"/>
  <c r="BC78" i="23" s="1"/>
  <c r="I44" i="23"/>
  <c r="AN96" i="23" s="1"/>
  <c r="I44" i="14"/>
  <c r="I44" i="9"/>
  <c r="I44" i="7"/>
  <c r="I44" i="8"/>
  <c r="I44" i="6"/>
  <c r="I50" i="9"/>
  <c r="I11" i="24"/>
  <c r="I11" i="13"/>
  <c r="I11" i="12"/>
  <c r="I11" i="11"/>
  <c r="I11" i="10"/>
  <c r="I30" i="23"/>
  <c r="I30" i="14"/>
  <c r="I30" i="9"/>
  <c r="I30" i="8"/>
  <c r="I30" i="6"/>
  <c r="I30" i="7"/>
  <c r="I38" i="23"/>
  <c r="I38" i="14"/>
  <c r="I38" i="8"/>
  <c r="I38" i="6"/>
  <c r="I38" i="9"/>
  <c r="I38" i="7"/>
  <c r="AO2" i="16"/>
  <c r="AO7" i="16" s="1"/>
  <c r="AA9" i="21"/>
  <c r="AJ6" i="16"/>
  <c r="AT6" i="16"/>
  <c r="AT2" i="16"/>
  <c r="AT7" i="16" s="1"/>
  <c r="AT3" i="16"/>
  <c r="AJ3" i="16"/>
  <c r="AO6" i="16"/>
  <c r="AO3" i="16"/>
  <c r="AT4" i="16"/>
  <c r="AJ4" i="16"/>
  <c r="AT5" i="16"/>
  <c r="AO4" i="16"/>
  <c r="AC112" i="17"/>
  <c r="AC26" i="17"/>
  <c r="AC96" i="17"/>
  <c r="AC82" i="17"/>
  <c r="AA11" i="21"/>
  <c r="AO5" i="16"/>
  <c r="AC10" i="17"/>
  <c r="AC14" i="17"/>
  <c r="AC86" i="17"/>
  <c r="AC94" i="17"/>
  <c r="AC102" i="17"/>
  <c r="AC110" i="17"/>
  <c r="AC90" i="17"/>
  <c r="AC98" i="17"/>
  <c r="AC106" i="17"/>
  <c r="AA10" i="21"/>
  <c r="AC80" i="17"/>
  <c r="AC88" i="17"/>
  <c r="AC104" i="17"/>
  <c r="AC12" i="17"/>
  <c r="AC16" i="17"/>
  <c r="AC35" i="17"/>
  <c r="AC43" i="17"/>
  <c r="AC51" i="17"/>
  <c r="AC59" i="17"/>
  <c r="AC48" i="17"/>
  <c r="AC83" i="17"/>
  <c r="AC91" i="17"/>
  <c r="AC99" i="17"/>
  <c r="AC107" i="17"/>
  <c r="AF4" i="21"/>
  <c r="Y6" i="21"/>
  <c r="AG6" i="21" s="1"/>
  <c r="AC81" i="17"/>
  <c r="AC89" i="17"/>
  <c r="AC97" i="17"/>
  <c r="AC105" i="17"/>
  <c r="AC113" i="17"/>
  <c r="AC28" i="17"/>
  <c r="AC36" i="17"/>
  <c r="AC44" i="17"/>
  <c r="AC60" i="17"/>
  <c r="AC79" i="17"/>
  <c r="AC84" i="17"/>
  <c r="AC87" i="17"/>
  <c r="AC92" i="17"/>
  <c r="AC95" i="17"/>
  <c r="AC100" i="17"/>
  <c r="AC103" i="17"/>
  <c r="AC108" i="17"/>
  <c r="AC111" i="17"/>
  <c r="AJ6" i="21"/>
  <c r="AG5" i="21"/>
  <c r="AC37" i="17"/>
  <c r="AC85" i="17"/>
  <c r="AC93" i="17"/>
  <c r="AC101" i="17"/>
  <c r="AC109" i="17"/>
  <c r="Y3" i="21"/>
  <c r="AG3" i="21" s="1"/>
  <c r="R10" i="5"/>
  <c r="R9" i="5"/>
  <c r="E35" i="5"/>
  <c r="F35" i="5"/>
  <c r="Z8" i="21"/>
  <c r="AH8" i="21" s="1"/>
  <c r="AW82" i="23"/>
  <c r="AO82" i="23"/>
  <c r="BD82" i="23"/>
  <c r="AV82" i="23"/>
  <c r="AN82" i="23"/>
  <c r="BC82" i="23"/>
  <c r="AU82" i="23"/>
  <c r="AM82" i="23"/>
  <c r="BB82" i="23"/>
  <c r="AT82" i="23"/>
  <c r="AL82" i="23"/>
  <c r="BA82" i="23"/>
  <c r="AK82" i="23"/>
  <c r="AZ82" i="23"/>
  <c r="AJ82" i="23"/>
  <c r="AY82" i="23"/>
  <c r="AI82" i="23"/>
  <c r="AS82" i="23"/>
  <c r="AX82" i="23"/>
  <c r="AR82" i="23"/>
  <c r="AQ82" i="23"/>
  <c r="AP82" i="23"/>
  <c r="BA83" i="23"/>
  <c r="AR83" i="23"/>
  <c r="AI83" i="23"/>
  <c r="BD83" i="23"/>
  <c r="AW83" i="23"/>
  <c r="AW58" i="23"/>
  <c r="AR67" i="23"/>
  <c r="R75" i="23"/>
  <c r="AU83" i="23"/>
  <c r="BC90" i="23"/>
  <c r="AU90" i="23"/>
  <c r="AM90" i="23"/>
  <c r="BB90" i="23"/>
  <c r="BA90" i="23"/>
  <c r="AS90" i="23"/>
  <c r="AK90" i="23"/>
  <c r="AZ90" i="23"/>
  <c r="AR90" i="23"/>
  <c r="AJ90" i="23"/>
  <c r="AX90" i="23"/>
  <c r="AP90" i="23"/>
  <c r="BD90" i="23"/>
  <c r="AL90" i="23"/>
  <c r="AY90" i="23"/>
  <c r="AI90" i="23"/>
  <c r="AW90" i="23"/>
  <c r="AV90" i="23"/>
  <c r="AT90" i="23"/>
  <c r="AV74" i="23"/>
  <c r="AY59" i="23"/>
  <c r="AQ59" i="23"/>
  <c r="AI59" i="23"/>
  <c r="AX59" i="23"/>
  <c r="AP59" i="23"/>
  <c r="AW59" i="23"/>
  <c r="AO59" i="23"/>
  <c r="BD59" i="23"/>
  <c r="AV59" i="23"/>
  <c r="AN59" i="23"/>
  <c r="BC59" i="23"/>
  <c r="AU59" i="23"/>
  <c r="AM59" i="23"/>
  <c r="AV58" i="23"/>
  <c r="AS59" i="23"/>
  <c r="AL67" i="23"/>
  <c r="AT83" i="23"/>
  <c r="AW61" i="23"/>
  <c r="AW69" i="23"/>
  <c r="AO69" i="23"/>
  <c r="BD69" i="23"/>
  <c r="AV69" i="23"/>
  <c r="AN69" i="23"/>
  <c r="BC69" i="23"/>
  <c r="AU69" i="23"/>
  <c r="AM69" i="23"/>
  <c r="BA69" i="23"/>
  <c r="AS69" i="23"/>
  <c r="AK69" i="23"/>
  <c r="BB69" i="23"/>
  <c r="AL69" i="23"/>
  <c r="AZ69" i="23"/>
  <c r="AJ69" i="23"/>
  <c r="AY69" i="23"/>
  <c r="AI69" i="23"/>
  <c r="AX69" i="23"/>
  <c r="AT69" i="23"/>
  <c r="BA77" i="23"/>
  <c r="AS77" i="23"/>
  <c r="AK77" i="23"/>
  <c r="AZ77" i="23"/>
  <c r="AR77" i="23"/>
  <c r="AJ77" i="23"/>
  <c r="AY77" i="23"/>
  <c r="AQ77" i="23"/>
  <c r="AI77" i="23"/>
  <c r="AX77" i="23"/>
  <c r="AP77" i="23"/>
  <c r="AW77" i="23"/>
  <c r="AV77" i="23"/>
  <c r="AU77" i="23"/>
  <c r="AO77" i="23"/>
  <c r="AT77" i="23"/>
  <c r="AN77" i="23"/>
  <c r="AM77" i="23"/>
  <c r="AL77" i="23"/>
  <c r="AY85" i="23"/>
  <c r="AV85" i="23"/>
  <c r="AX85" i="23"/>
  <c r="AS85" i="23"/>
  <c r="BA85" i="23"/>
  <c r="AN85" i="23"/>
  <c r="AY93" i="23"/>
  <c r="AQ93" i="23"/>
  <c r="AI93" i="23"/>
  <c r="AX93" i="23"/>
  <c r="AP93" i="23"/>
  <c r="AW93" i="23"/>
  <c r="AO93" i="23"/>
  <c r="BD93" i="23"/>
  <c r="AV93" i="23"/>
  <c r="AN93" i="23"/>
  <c r="BC93" i="23"/>
  <c r="AU93" i="23"/>
  <c r="AM93" i="23"/>
  <c r="BB93" i="23"/>
  <c r="AT93" i="23"/>
  <c r="AL93" i="23"/>
  <c r="BA93" i="23"/>
  <c r="AZ93" i="23"/>
  <c r="AS93" i="23"/>
  <c r="AR93" i="23"/>
  <c r="AK93" i="23"/>
  <c r="AJ93" i="23"/>
  <c r="BA101" i="23"/>
  <c r="AI101" i="23"/>
  <c r="AZ59" i="23"/>
  <c r="AS67" i="23"/>
  <c r="BC58" i="23"/>
  <c r="AU58" i="23"/>
  <c r="AM58" i="23"/>
  <c r="BB58" i="23"/>
  <c r="AT58" i="23"/>
  <c r="AL58" i="23"/>
  <c r="BA58" i="23"/>
  <c r="AS58" i="23"/>
  <c r="AK58" i="23"/>
  <c r="AZ58" i="23"/>
  <c r="AR58" i="23"/>
  <c r="AJ58" i="23"/>
  <c r="AY58" i="23"/>
  <c r="AQ58" i="23"/>
  <c r="AI58" i="23"/>
  <c r="BC98" i="23"/>
  <c r="AU98" i="23"/>
  <c r="AM98" i="23"/>
  <c r="BB98" i="23"/>
  <c r="AT98" i="23"/>
  <c r="AL98" i="23"/>
  <c r="BA98" i="23"/>
  <c r="AS98" i="23"/>
  <c r="AK98" i="23"/>
  <c r="AZ98" i="23"/>
  <c r="AR98" i="23"/>
  <c r="AJ98" i="23"/>
  <c r="AY98" i="23"/>
  <c r="AQ98" i="23"/>
  <c r="AI98" i="23"/>
  <c r="AX98" i="23"/>
  <c r="AP98" i="23"/>
  <c r="BD98" i="23"/>
  <c r="AW98" i="23"/>
  <c r="AV98" i="23"/>
  <c r="AO98" i="23"/>
  <c r="AN98" i="23"/>
  <c r="BA75" i="23"/>
  <c r="AS75" i="23"/>
  <c r="AX75" i="23"/>
  <c r="AP75" i="23"/>
  <c r="AZ75" i="23"/>
  <c r="AO75" i="23"/>
  <c r="P75" i="23"/>
  <c r="AY75" i="23"/>
  <c r="AN75" i="23"/>
  <c r="AW75" i="23"/>
  <c r="AM75" i="23"/>
  <c r="AU75" i="23"/>
  <c r="AK75" i="23"/>
  <c r="AV75" i="23"/>
  <c r="AT75" i="23"/>
  <c r="AR75" i="23"/>
  <c r="AQ75" i="23"/>
  <c r="AL75" i="23"/>
  <c r="BB57" i="23"/>
  <c r="BD58" i="23"/>
  <c r="BA59" i="23"/>
  <c r="AT67" i="23"/>
  <c r="AN90" i="23"/>
  <c r="AJ59" i="23"/>
  <c r="BB59" i="23"/>
  <c r="AI75" i="23"/>
  <c r="AO90" i="23"/>
  <c r="AZ97" i="23"/>
  <c r="BA74" i="23"/>
  <c r="AS74" i="23"/>
  <c r="AK74" i="23"/>
  <c r="AZ74" i="23"/>
  <c r="AR74" i="23"/>
  <c r="AJ74" i="23"/>
  <c r="AY74" i="23"/>
  <c r="AQ74" i="23"/>
  <c r="AI74" i="23"/>
  <c r="R74" i="23"/>
  <c r="AW74" i="23"/>
  <c r="AO74" i="23"/>
  <c r="P74" i="23"/>
  <c r="AP74" i="23"/>
  <c r="BD74" i="23"/>
  <c r="AN74" i="23"/>
  <c r="BC74" i="23"/>
  <c r="AM74" i="23"/>
  <c r="BB74" i="23"/>
  <c r="AL74" i="23"/>
  <c r="AX74" i="23"/>
  <c r="AP58" i="23"/>
  <c r="AY67" i="23"/>
  <c r="AQ67" i="23"/>
  <c r="AI67" i="23"/>
  <c r="AX67" i="23"/>
  <c r="AP67" i="23"/>
  <c r="AW67" i="23"/>
  <c r="AO67" i="23"/>
  <c r="BD67" i="23"/>
  <c r="AV67" i="23"/>
  <c r="AN67" i="23"/>
  <c r="BC67" i="23"/>
  <c r="AU67" i="23"/>
  <c r="AM67" i="23"/>
  <c r="BD75" i="23"/>
  <c r="AN58" i="23"/>
  <c r="AK59" i="23"/>
  <c r="BA67" i="23"/>
  <c r="AT74" i="23"/>
  <c r="AJ75" i="23"/>
  <c r="AQ90" i="23"/>
  <c r="AI57" i="23"/>
  <c r="AO57" i="23"/>
  <c r="BC57" i="23"/>
  <c r="P73" i="23"/>
  <c r="AS73" i="23"/>
  <c r="R73" i="23"/>
  <c r="AS81" i="23"/>
  <c r="AJ81" i="23"/>
  <c r="R81" i="23"/>
  <c r="P81" i="23"/>
  <c r="BD81" i="23"/>
  <c r="AY89" i="23"/>
  <c r="AQ89" i="23"/>
  <c r="AI89" i="23"/>
  <c r="AW89" i="23"/>
  <c r="AO89" i="23"/>
  <c r="BD89" i="23"/>
  <c r="AV89" i="23"/>
  <c r="AN89" i="23"/>
  <c r="BB89" i="23"/>
  <c r="AT89" i="23"/>
  <c r="AL89" i="23"/>
  <c r="AX89" i="23"/>
  <c r="AU89" i="23"/>
  <c r="AS89" i="23"/>
  <c r="AR89" i="23"/>
  <c r="AP89" i="23"/>
  <c r="AM89" i="23"/>
  <c r="AK89" i="23"/>
  <c r="BC89" i="23"/>
  <c r="BA89" i="23"/>
  <c r="AZ89" i="23"/>
  <c r="AJ89" i="23"/>
  <c r="AY97" i="23"/>
  <c r="AQ97" i="23"/>
  <c r="AI97" i="23"/>
  <c r="AX97" i="23"/>
  <c r="AP97" i="23"/>
  <c r="AW97" i="23"/>
  <c r="AO97" i="23"/>
  <c r="BD97" i="23"/>
  <c r="AV97" i="23"/>
  <c r="AN97" i="23"/>
  <c r="BC97" i="23"/>
  <c r="AU97" i="23"/>
  <c r="AM97" i="23"/>
  <c r="BB97" i="23"/>
  <c r="AT97" i="23"/>
  <c r="AL97" i="23"/>
  <c r="AS97" i="23"/>
  <c r="AR97" i="23"/>
  <c r="AK97" i="23"/>
  <c r="AJ97" i="23"/>
  <c r="AO58" i="23"/>
  <c r="AL59" i="23"/>
  <c r="AJ67" i="23"/>
  <c r="BB67" i="23"/>
  <c r="AP69" i="23"/>
  <c r="AU74" i="23"/>
  <c r="BB75" i="23"/>
  <c r="BA68" i="23"/>
  <c r="AS68" i="23"/>
  <c r="AK68" i="23"/>
  <c r="AZ68" i="23"/>
  <c r="AR68" i="23"/>
  <c r="AY68" i="23"/>
  <c r="AQ68" i="23"/>
  <c r="AW68" i="23"/>
  <c r="AO68" i="23"/>
  <c r="AW76" i="23"/>
  <c r="AO76" i="23"/>
  <c r="P76" i="23"/>
  <c r="BD76" i="23"/>
  <c r="AV76" i="23"/>
  <c r="AN76" i="23"/>
  <c r="BC76" i="23"/>
  <c r="AU76" i="23"/>
  <c r="AM76" i="23"/>
  <c r="BB76" i="23"/>
  <c r="AT76" i="23"/>
  <c r="AL76" i="23"/>
  <c r="AS76" i="23"/>
  <c r="R76" i="23"/>
  <c r="AR76" i="23"/>
  <c r="AQ76" i="23"/>
  <c r="BA76" i="23"/>
  <c r="AK76" i="23"/>
  <c r="AW84" i="23"/>
  <c r="AO84" i="23"/>
  <c r="BD84" i="23"/>
  <c r="AV84" i="23"/>
  <c r="AN84" i="23"/>
  <c r="BC84" i="23"/>
  <c r="AU84" i="23"/>
  <c r="AM84" i="23"/>
  <c r="BB84" i="23"/>
  <c r="AT84" i="23"/>
  <c r="AL84" i="23"/>
  <c r="AS84" i="23"/>
  <c r="AR84" i="23"/>
  <c r="AQ84" i="23"/>
  <c r="BA84" i="23"/>
  <c r="AK84" i="23"/>
  <c r="BC92" i="23"/>
  <c r="AU92" i="23"/>
  <c r="AM92" i="23"/>
  <c r="BB92" i="23"/>
  <c r="AT92" i="23"/>
  <c r="AL92" i="23"/>
  <c r="BA92" i="23"/>
  <c r="AS92" i="23"/>
  <c r="AK92" i="23"/>
  <c r="AZ92" i="23"/>
  <c r="AR92" i="23"/>
  <c r="AJ92" i="23"/>
  <c r="AX92" i="23"/>
  <c r="AP92" i="23"/>
  <c r="AY92" i="23"/>
  <c r="AW92" i="23"/>
  <c r="AV92" i="23"/>
  <c r="AQ92" i="23"/>
  <c r="AO92" i="23"/>
  <c r="AY100" i="23"/>
  <c r="AQ100" i="23"/>
  <c r="AI100" i="23"/>
  <c r="AX100" i="23"/>
  <c r="AP100" i="23"/>
  <c r="AW100" i="23"/>
  <c r="AO100" i="23"/>
  <c r="BD100" i="23"/>
  <c r="AV100" i="23"/>
  <c r="AN100" i="23"/>
  <c r="BC100" i="23"/>
  <c r="AU100" i="23"/>
  <c r="AM100" i="23"/>
  <c r="BB100" i="23"/>
  <c r="AT100" i="23"/>
  <c r="AL100" i="23"/>
  <c r="BA100" i="23"/>
  <c r="AS100" i="23"/>
  <c r="AK100" i="23"/>
  <c r="AZ100" i="23"/>
  <c r="AR100" i="23"/>
  <c r="AJ100" i="23"/>
  <c r="AP68" i="23"/>
  <c r="AL71" i="23"/>
  <c r="BB71" i="23"/>
  <c r="AP72" i="23"/>
  <c r="AP76" i="23"/>
  <c r="AP84" i="23"/>
  <c r="BD92" i="23"/>
  <c r="AT68" i="23"/>
  <c r="AX76" i="23"/>
  <c r="AX84" i="23"/>
  <c r="BA70" i="23"/>
  <c r="AS70" i="23"/>
  <c r="AK70" i="23"/>
  <c r="AZ70" i="23"/>
  <c r="AR70" i="23"/>
  <c r="AJ70" i="23"/>
  <c r="AY70" i="23"/>
  <c r="AQ70" i="23"/>
  <c r="AI70" i="23"/>
  <c r="AW70" i="23"/>
  <c r="AO70" i="23"/>
  <c r="AO78" i="23"/>
  <c r="AN78" i="23"/>
  <c r="BB78" i="23"/>
  <c r="AK78" i="23"/>
  <c r="AI78" i="23"/>
  <c r="AU86" i="23"/>
  <c r="AK86" i="23"/>
  <c r="AX86" i="23"/>
  <c r="AY86" i="23"/>
  <c r="AT86" i="23"/>
  <c r="AU68" i="23"/>
  <c r="AM70" i="23"/>
  <c r="BC70" i="23"/>
  <c r="AY76" i="23"/>
  <c r="AY84" i="23"/>
  <c r="AW71" i="23"/>
  <c r="AO71" i="23"/>
  <c r="BD71" i="23"/>
  <c r="AV71" i="23"/>
  <c r="AN71" i="23"/>
  <c r="BC71" i="23"/>
  <c r="AU71" i="23"/>
  <c r="AM71" i="23"/>
  <c r="BA71" i="23"/>
  <c r="AS71" i="23"/>
  <c r="AK71" i="23"/>
  <c r="AY87" i="23"/>
  <c r="AQ87" i="23"/>
  <c r="AI87" i="23"/>
  <c r="AW87" i="23"/>
  <c r="AO87" i="23"/>
  <c r="BD87" i="23"/>
  <c r="AV87" i="23"/>
  <c r="AN87" i="23"/>
  <c r="BB87" i="23"/>
  <c r="AT87" i="23"/>
  <c r="AL87" i="23"/>
  <c r="AP87" i="23"/>
  <c r="BC87" i="23"/>
  <c r="AM87" i="23"/>
  <c r="BA87" i="23"/>
  <c r="AK87" i="23"/>
  <c r="AZ87" i="23"/>
  <c r="AJ87" i="23"/>
  <c r="AX87" i="23"/>
  <c r="AY95" i="23"/>
  <c r="AQ95" i="23"/>
  <c r="AI95" i="23"/>
  <c r="AX95" i="23"/>
  <c r="AP95" i="23"/>
  <c r="AW95" i="23"/>
  <c r="AO95" i="23"/>
  <c r="BD95" i="23"/>
  <c r="AV95" i="23"/>
  <c r="AN95" i="23"/>
  <c r="BC95" i="23"/>
  <c r="AU95" i="23"/>
  <c r="AM95" i="23"/>
  <c r="BB95" i="23"/>
  <c r="AT95" i="23"/>
  <c r="AL95" i="23"/>
  <c r="AK95" i="23"/>
  <c r="AJ95" i="23"/>
  <c r="BA95" i="23"/>
  <c r="AZ95" i="23"/>
  <c r="AS95" i="23"/>
  <c r="BC103" i="23"/>
  <c r="AU103" i="23"/>
  <c r="AM103" i="23"/>
  <c r="BB103" i="23"/>
  <c r="AT103" i="23"/>
  <c r="AL103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AW103" i="23"/>
  <c r="AO103" i="23"/>
  <c r="AV103" i="23"/>
  <c r="AN103" i="23"/>
  <c r="BD103" i="23"/>
  <c r="AT64" i="23"/>
  <c r="AI68" i="23"/>
  <c r="AV68" i="23"/>
  <c r="AN70" i="23"/>
  <c r="BD70" i="23"/>
  <c r="AR71" i="23"/>
  <c r="AZ76" i="23"/>
  <c r="AZ84" i="23"/>
  <c r="AS72" i="23"/>
  <c r="AJ72" i="23"/>
  <c r="AW72" i="23"/>
  <c r="AM88" i="23"/>
  <c r="AP88" i="23"/>
  <c r="AW88" i="23"/>
  <c r="BC96" i="23"/>
  <c r="AU96" i="23"/>
  <c r="AM96" i="23"/>
  <c r="BB96" i="23"/>
  <c r="AT96" i="23"/>
  <c r="AL96" i="23"/>
  <c r="BA96" i="23"/>
  <c r="AS96" i="23"/>
  <c r="AK96" i="23"/>
  <c r="AZ96" i="23"/>
  <c r="AR96" i="23"/>
  <c r="AJ96" i="23"/>
  <c r="AY96" i="23"/>
  <c r="AQ96" i="23"/>
  <c r="AI96" i="23"/>
  <c r="AX96" i="23"/>
  <c r="AP96" i="23"/>
  <c r="BD96" i="23"/>
  <c r="AW96" i="23"/>
  <c r="AV96" i="23"/>
  <c r="AO96" i="23"/>
  <c r="AJ68" i="23"/>
  <c r="AX68" i="23"/>
  <c r="AP70" i="23"/>
  <c r="AT71" i="23"/>
  <c r="AF54" i="24"/>
  <c r="X54" i="24"/>
  <c r="AE54" i="24"/>
  <c r="W54" i="24"/>
  <c r="AD54" i="24"/>
  <c r="AC54" i="24"/>
  <c r="AB54" i="24"/>
  <c r="AA54" i="24"/>
  <c r="Z54" i="24"/>
  <c r="Y54" i="24"/>
  <c r="AF62" i="24"/>
  <c r="X62" i="24"/>
  <c r="AE62" i="24"/>
  <c r="W62" i="24"/>
  <c r="AD62" i="24"/>
  <c r="AC62" i="24"/>
  <c r="AB62" i="24"/>
  <c r="AA62" i="24"/>
  <c r="Z62" i="24"/>
  <c r="Y62" i="24"/>
  <c r="AF70" i="24"/>
  <c r="X70" i="24"/>
  <c r="AE70" i="24"/>
  <c r="W70" i="24"/>
  <c r="AD70" i="24"/>
  <c r="AC70" i="24"/>
  <c r="Y70" i="24"/>
  <c r="AB70" i="24"/>
  <c r="AA70" i="24"/>
  <c r="Z70" i="24"/>
  <c r="AF78" i="24"/>
  <c r="X78" i="24"/>
  <c r="AE78" i="24"/>
  <c r="W78" i="24"/>
  <c r="AD78" i="24"/>
  <c r="AC78" i="24"/>
  <c r="Z78" i="24"/>
  <c r="Y78" i="24"/>
  <c r="AB78" i="24"/>
  <c r="AA78" i="24"/>
  <c r="AB71" i="24"/>
  <c r="AA71" i="24"/>
  <c r="Z71" i="24"/>
  <c r="Y71" i="24"/>
  <c r="AC71" i="24"/>
  <c r="AB79" i="24"/>
  <c r="AA79" i="24"/>
  <c r="Z79" i="24"/>
  <c r="Y79" i="24"/>
  <c r="AD79" i="24"/>
  <c r="AC79" i="24"/>
  <c r="Z48" i="24"/>
  <c r="AD49" i="24"/>
  <c r="Z50" i="24"/>
  <c r="Z52" i="24"/>
  <c r="AD53" i="24"/>
  <c r="AD57" i="24"/>
  <c r="AD59" i="24"/>
  <c r="Z60" i="24"/>
  <c r="Z64" i="24"/>
  <c r="W69" i="24"/>
  <c r="X71" i="24"/>
  <c r="AA76" i="24"/>
  <c r="AE79" i="24"/>
  <c r="AF72" i="24"/>
  <c r="X72" i="24"/>
  <c r="AE72" i="24"/>
  <c r="W72" i="24"/>
  <c r="AD72" i="24"/>
  <c r="AC72" i="24"/>
  <c r="Y72" i="24"/>
  <c r="AF80" i="24"/>
  <c r="X80" i="24"/>
  <c r="AE80" i="24"/>
  <c r="W80" i="24"/>
  <c r="AD80" i="24"/>
  <c r="AC80" i="24"/>
  <c r="Z80" i="24"/>
  <c r="Y80" i="24"/>
  <c r="AA48" i="24"/>
  <c r="W49" i="24"/>
  <c r="AE49" i="24"/>
  <c r="AA50" i="24"/>
  <c r="W51" i="24"/>
  <c r="AA52" i="24"/>
  <c r="W53" i="24"/>
  <c r="AE53" i="24"/>
  <c r="W57" i="24"/>
  <c r="AE57" i="24"/>
  <c r="W59" i="24"/>
  <c r="AE59" i="24"/>
  <c r="AA60" i="24"/>
  <c r="AA64" i="24"/>
  <c r="AA66" i="24"/>
  <c r="W67" i="24"/>
  <c r="Z68" i="24"/>
  <c r="X69" i="24"/>
  <c r="AD71" i="24"/>
  <c r="AB72" i="24"/>
  <c r="AF79" i="24"/>
  <c r="AC73" i="24"/>
  <c r="AB81" i="24"/>
  <c r="AD81" i="24"/>
  <c r="AB48" i="24"/>
  <c r="X49" i="24"/>
  <c r="AF49" i="24"/>
  <c r="AB50" i="24"/>
  <c r="AB52" i="24"/>
  <c r="X53" i="24"/>
  <c r="AF53" i="24"/>
  <c r="X57" i="24"/>
  <c r="AF57" i="24"/>
  <c r="X59" i="24"/>
  <c r="AF59" i="24"/>
  <c r="AB60" i="24"/>
  <c r="AB64" i="24"/>
  <c r="X65" i="24"/>
  <c r="X67" i="24"/>
  <c r="AA68" i="24"/>
  <c r="AD69" i="24"/>
  <c r="AE71" i="24"/>
  <c r="W75" i="24"/>
  <c r="X83" i="24"/>
  <c r="AF82" i="24"/>
  <c r="AD82" i="24"/>
  <c r="AC48" i="24"/>
  <c r="Y49" i="24"/>
  <c r="AC50" i="24"/>
  <c r="Y51" i="24"/>
  <c r="AC52" i="24"/>
  <c r="Y53" i="24"/>
  <c r="Y57" i="24"/>
  <c r="Y59" i="24"/>
  <c r="AC60" i="24"/>
  <c r="AC64" i="24"/>
  <c r="AD66" i="24"/>
  <c r="AE69" i="24"/>
  <c r="AF71" i="24"/>
  <c r="AB67" i="24"/>
  <c r="AA67" i="24"/>
  <c r="Z67" i="24"/>
  <c r="Y67" i="24"/>
  <c r="AC67" i="24"/>
  <c r="AB75" i="24"/>
  <c r="AA75" i="24"/>
  <c r="Z75" i="24"/>
  <c r="Y75" i="24"/>
  <c r="AD75" i="24"/>
  <c r="AC75" i="24"/>
  <c r="AB83" i="24"/>
  <c r="AA83" i="24"/>
  <c r="Z83" i="24"/>
  <c r="Y83" i="24"/>
  <c r="AE83" i="24"/>
  <c r="W83" i="24"/>
  <c r="AD83" i="24"/>
  <c r="AC83" i="24"/>
  <c r="AD48" i="24"/>
  <c r="Z49" i="24"/>
  <c r="AD50" i="24"/>
  <c r="Z51" i="24"/>
  <c r="AD52" i="24"/>
  <c r="Z53" i="24"/>
  <c r="Z57" i="24"/>
  <c r="Z59" i="24"/>
  <c r="AD60" i="24"/>
  <c r="AD64" i="24"/>
  <c r="AE67" i="24"/>
  <c r="AF69" i="24"/>
  <c r="AE75" i="24"/>
  <c r="AA80" i="24"/>
  <c r="AF68" i="24"/>
  <c r="X68" i="24"/>
  <c r="AE68" i="24"/>
  <c r="W68" i="24"/>
  <c r="AD68" i="24"/>
  <c r="AC68" i="24"/>
  <c r="Y68" i="24"/>
  <c r="AF76" i="24"/>
  <c r="X76" i="24"/>
  <c r="AE76" i="24"/>
  <c r="W76" i="24"/>
  <c r="AD76" i="24"/>
  <c r="AC76" i="24"/>
  <c r="Z76" i="24"/>
  <c r="Y76" i="24"/>
  <c r="W48" i="24"/>
  <c r="AE48" i="24"/>
  <c r="AA49" i="24"/>
  <c r="W50" i="24"/>
  <c r="AE50" i="24"/>
  <c r="AA51" i="24"/>
  <c r="W52" i="24"/>
  <c r="AE52" i="24"/>
  <c r="AA53" i="24"/>
  <c r="AA57" i="24"/>
  <c r="AA59" i="24"/>
  <c r="W60" i="24"/>
  <c r="AE60" i="24"/>
  <c r="W64" i="24"/>
  <c r="AE64" i="24"/>
  <c r="AF67" i="24"/>
  <c r="AF75" i="24"/>
  <c r="AB80" i="24"/>
  <c r="AB69" i="24"/>
  <c r="AA69" i="24"/>
  <c r="Z69" i="24"/>
  <c r="Y69" i="24"/>
  <c r="AC69" i="24"/>
  <c r="X48" i="24"/>
  <c r="X50" i="24"/>
  <c r="X52" i="24"/>
  <c r="X60" i="24"/>
  <c r="X64" i="24"/>
  <c r="W79" i="24"/>
  <c r="Z3" i="21"/>
  <c r="AH3" i="21" s="1"/>
  <c r="AH4" i="21"/>
  <c r="Z6" i="21"/>
  <c r="AH6" i="21" s="1"/>
  <c r="AJ3" i="21"/>
  <c r="Z5" i="21"/>
  <c r="AH5" i="21" s="1"/>
  <c r="AJ13" i="21"/>
  <c r="AJ5" i="21"/>
  <c r="Z13" i="21"/>
  <c r="AH13" i="21" s="1"/>
  <c r="R9" i="21"/>
  <c r="M74" i="21"/>
  <c r="U9" i="21" s="1"/>
  <c r="AI9" i="21" s="1"/>
  <c r="M2" i="21"/>
  <c r="U10" i="21"/>
  <c r="AI10" i="21" s="1"/>
  <c r="R10" i="21"/>
  <c r="M287" i="21"/>
  <c r="U12" i="21" s="1"/>
  <c r="AI12" i="21" s="1"/>
  <c r="R12" i="21"/>
  <c r="X12" i="21" s="1"/>
  <c r="AF12" i="21" s="1"/>
  <c r="AG8" i="21"/>
  <c r="R11" i="21"/>
  <c r="X13" i="21"/>
  <c r="AF13" i="21" s="1"/>
  <c r="X5" i="21"/>
  <c r="AF5" i="21" s="1"/>
  <c r="M198" i="21"/>
  <c r="U11" i="21" s="1"/>
  <c r="AI11" i="21" s="1"/>
  <c r="AJ2" i="16"/>
  <c r="AJ7" i="16" s="1"/>
  <c r="AJ5" i="16"/>
  <c r="AJ8" i="16" s="1"/>
  <c r="AO8" i="16"/>
  <c r="AC50" i="17"/>
  <c r="AC54" i="17"/>
  <c r="AC27" i="17"/>
  <c r="AC41" i="17"/>
  <c r="AC52" i="17"/>
  <c r="AC73" i="17"/>
  <c r="AC47" i="17"/>
  <c r="AC49" i="17"/>
  <c r="AC32" i="17"/>
  <c r="AC30" i="17"/>
  <c r="AC34" i="17"/>
  <c r="AC38" i="17"/>
  <c r="AC53" i="17"/>
  <c r="AC66" i="17"/>
  <c r="AC70" i="17"/>
  <c r="AC64" i="17"/>
  <c r="AC72" i="17"/>
  <c r="AC56" i="17"/>
  <c r="AC71" i="17"/>
  <c r="AC67" i="17"/>
  <c r="AC63" i="17"/>
  <c r="AC69" i="17"/>
  <c r="AC75" i="17"/>
  <c r="AC57" i="17"/>
  <c r="AC68" i="17"/>
  <c r="AC55" i="17"/>
  <c r="AC45" i="17"/>
  <c r="AC58" i="17"/>
  <c r="AC62" i="17"/>
  <c r="AC77" i="17"/>
  <c r="AC29" i="17"/>
  <c r="AC42" i="17"/>
  <c r="AC46" i="17"/>
  <c r="AC61" i="17"/>
  <c r="AC74" i="17"/>
  <c r="AC78" i="17"/>
  <c r="AO9" i="16"/>
  <c r="AC39" i="17"/>
  <c r="AC31" i="17"/>
  <c r="AC33" i="17"/>
  <c r="AC65" i="17"/>
  <c r="AC76" i="17"/>
  <c r="AC40" i="17"/>
  <c r="V46" i="13"/>
  <c r="V46" i="12"/>
  <c r="V46" i="10"/>
  <c r="V46" i="11"/>
  <c r="W54" i="8"/>
  <c r="W58" i="8" s="1"/>
  <c r="W54" i="9"/>
  <c r="W54" i="7"/>
  <c r="Z44" i="12"/>
  <c r="Z44" i="13"/>
  <c r="Z44" i="11"/>
  <c r="Z44" i="10"/>
  <c r="AL56" i="8"/>
  <c r="AL56" i="9"/>
  <c r="AL58" i="6"/>
  <c r="AL56" i="7"/>
  <c r="AD55" i="9"/>
  <c r="AD55" i="8"/>
  <c r="AD55" i="7"/>
  <c r="AD57" i="6"/>
  <c r="AB56" i="9"/>
  <c r="AB56" i="8"/>
  <c r="AB56" i="7"/>
  <c r="AB58" i="6"/>
  <c r="Z46" i="12"/>
  <c r="Z46" i="13"/>
  <c r="Z46" i="11"/>
  <c r="Z46" i="10"/>
  <c r="AJ55" i="9"/>
  <c r="AJ55" i="8"/>
  <c r="AJ55" i="7"/>
  <c r="AJ57" i="6"/>
  <c r="AD54" i="8"/>
  <c r="AD54" i="9"/>
  <c r="AD54" i="7"/>
  <c r="V44" i="13"/>
  <c r="V44" i="12"/>
  <c r="V44" i="11"/>
  <c r="V44" i="10"/>
  <c r="Q44" i="13"/>
  <c r="Q44" i="12"/>
  <c r="Q44" i="11"/>
  <c r="Q44" i="10"/>
  <c r="AH54" i="8"/>
  <c r="AH54" i="9"/>
  <c r="AH54" i="7"/>
  <c r="AJ56" i="9"/>
  <c r="AJ56" i="8"/>
  <c r="AJ56" i="7"/>
  <c r="AJ58" i="6"/>
  <c r="S54" i="8"/>
  <c r="S54" i="9"/>
  <c r="S54" i="7"/>
  <c r="AD56" i="9"/>
  <c r="AD56" i="8"/>
  <c r="AD58" i="6"/>
  <c r="AD56" i="7"/>
  <c r="U56" i="9"/>
  <c r="U56" i="8"/>
  <c r="U58" i="6"/>
  <c r="AH56" i="9"/>
  <c r="AH56" i="8"/>
  <c r="AH58" i="6"/>
  <c r="AH56" i="7"/>
  <c r="Y45" i="13"/>
  <c r="Y45" i="12"/>
  <c r="Y45" i="11"/>
  <c r="Y45" i="10"/>
  <c r="AH55" i="9"/>
  <c r="AH55" i="8"/>
  <c r="AH57" i="6"/>
  <c r="AH55" i="7"/>
  <c r="AG54" i="8"/>
  <c r="AG54" i="9"/>
  <c r="AG54" i="7"/>
  <c r="X44" i="13"/>
  <c r="X44" i="12"/>
  <c r="X44" i="11"/>
  <c r="X44" i="10"/>
  <c r="V56" i="9"/>
  <c r="V56" i="8"/>
  <c r="V58" i="6"/>
  <c r="V56" i="7"/>
  <c r="AI54" i="8"/>
  <c r="AI58" i="8" s="1"/>
  <c r="AI54" i="9"/>
  <c r="AI54" i="7"/>
  <c r="Y46" i="13"/>
  <c r="Y46" i="12"/>
  <c r="Y46" i="11"/>
  <c r="Y46" i="10"/>
  <c r="AG56" i="9"/>
  <c r="AG56" i="8"/>
  <c r="AG56" i="7"/>
  <c r="AG58" i="6"/>
  <c r="X46" i="13"/>
  <c r="X46" i="12"/>
  <c r="X46" i="11"/>
  <c r="X46" i="10"/>
  <c r="Z56" i="9"/>
  <c r="Z56" i="8"/>
  <c r="Z56" i="7"/>
  <c r="AI55" i="9"/>
  <c r="AI55" i="8"/>
  <c r="AI55" i="7"/>
  <c r="V45" i="13"/>
  <c r="V45" i="11"/>
  <c r="V45" i="10"/>
  <c r="V45" i="12"/>
  <c r="M54" i="8"/>
  <c r="M58" i="8" s="1"/>
  <c r="M54" i="9"/>
  <c r="M54" i="7"/>
  <c r="D18" i="5"/>
  <c r="AB56" i="6" s="1"/>
  <c r="D28" i="5"/>
  <c r="AL56" i="6" s="1"/>
  <c r="AA56" i="9"/>
  <c r="AA56" i="7"/>
  <c r="AA56" i="8"/>
  <c r="AA58" i="6"/>
  <c r="AI56" i="9"/>
  <c r="AI56" i="8"/>
  <c r="AI56" i="7"/>
  <c r="Y44" i="13"/>
  <c r="Y44" i="12"/>
  <c r="Y48" i="12" s="1"/>
  <c r="Y44" i="11"/>
  <c r="Y48" i="11" s="1"/>
  <c r="Y44" i="10"/>
  <c r="AB55" i="9"/>
  <c r="AB55" i="8"/>
  <c r="AB57" i="6"/>
  <c r="AB55" i="7"/>
  <c r="E28" i="5"/>
  <c r="Z45" i="12"/>
  <c r="Z45" i="13"/>
  <c r="Z45" i="11"/>
  <c r="Z45" i="10"/>
  <c r="T46" i="12"/>
  <c r="T46" i="13"/>
  <c r="T46" i="10"/>
  <c r="T46" i="11"/>
  <c r="AJ54" i="8"/>
  <c r="AJ58" i="8" s="1"/>
  <c r="AJ54" i="9"/>
  <c r="AJ54" i="7"/>
  <c r="Q54" i="8"/>
  <c r="Q58" i="8" s="1"/>
  <c r="Q54" i="9"/>
  <c r="U54" i="8"/>
  <c r="U58" i="8" s="1"/>
  <c r="U54" i="9"/>
  <c r="U54" i="7"/>
  <c r="X54" i="8"/>
  <c r="X58" i="8" s="1"/>
  <c r="X54" i="9"/>
  <c r="X54" i="7"/>
  <c r="Z54" i="8"/>
  <c r="Z58" i="8" s="1"/>
  <c r="Z23" i="9" s="1"/>
  <c r="Z54" i="9"/>
  <c r="O54" i="8"/>
  <c r="O58" i="8" s="1"/>
  <c r="O54" i="9"/>
  <c r="O54" i="7"/>
  <c r="AA54" i="8"/>
  <c r="AA58" i="8" s="1"/>
  <c r="AA49" i="9" s="1"/>
  <c r="AA54" i="9"/>
  <c r="AA54" i="7"/>
  <c r="Z54" i="7"/>
  <c r="R54" i="8"/>
  <c r="R58" i="8" s="1"/>
  <c r="R54" i="9"/>
  <c r="AE54" i="8"/>
  <c r="AE54" i="9"/>
  <c r="AE54" i="7"/>
  <c r="AK54" i="8"/>
  <c r="AK58" i="8" s="1"/>
  <c r="AK54" i="9"/>
  <c r="AK54" i="7"/>
  <c r="L54" i="8"/>
  <c r="L58" i="8" s="1"/>
  <c r="L54" i="9"/>
  <c r="L54" i="7"/>
  <c r="P54" i="8"/>
  <c r="P58" i="8" s="1"/>
  <c r="P54" i="9"/>
  <c r="P54" i="7"/>
  <c r="AC54" i="8"/>
  <c r="AC58" i="8" s="1"/>
  <c r="AC54" i="9"/>
  <c r="AC54" i="7"/>
  <c r="AF54" i="8"/>
  <c r="AF54" i="9"/>
  <c r="AF54" i="7"/>
  <c r="AA51" i="9"/>
  <c r="AA39" i="9"/>
  <c r="AA48" i="9"/>
  <c r="AA44" i="9"/>
  <c r="AA40" i="9"/>
  <c r="AA45" i="9"/>
  <c r="AA38" i="9"/>
  <c r="AA33" i="9"/>
  <c r="AA37" i="9"/>
  <c r="AA32" i="9"/>
  <c r="AA41" i="9"/>
  <c r="AA35" i="9"/>
  <c r="AA31" i="9"/>
  <c r="AA21" i="9"/>
  <c r="AA26" i="9"/>
  <c r="AA27" i="9"/>
  <c r="AA19" i="9"/>
  <c r="AA14" i="9"/>
  <c r="AA6" i="9"/>
  <c r="AA15" i="9"/>
  <c r="AA7" i="9"/>
  <c r="AA18" i="9"/>
  <c r="AA12" i="9"/>
  <c r="AA17" i="9"/>
  <c r="AA13" i="9"/>
  <c r="AA9" i="9"/>
  <c r="AA5" i="9"/>
  <c r="Z6" i="9"/>
  <c r="D36" i="5"/>
  <c r="AB74" i="24" l="1"/>
  <c r="AD74" i="24"/>
  <c r="AD55" i="24"/>
  <c r="W55" i="24"/>
  <c r="AE55" i="24"/>
  <c r="AF55" i="24"/>
  <c r="Z55" i="24"/>
  <c r="AA55" i="24"/>
  <c r="X55" i="24"/>
  <c r="Y55" i="24"/>
  <c r="W61" i="24"/>
  <c r="AE61" i="24"/>
  <c r="Y61" i="24"/>
  <c r="Z61" i="24"/>
  <c r="AA61" i="24"/>
  <c r="AD61" i="24"/>
  <c r="AF61" i="24"/>
  <c r="X61" i="24"/>
  <c r="AR79" i="23"/>
  <c r="AO79" i="23"/>
  <c r="AL79" i="23"/>
  <c r="AJ79" i="23"/>
  <c r="BD79" i="23"/>
  <c r="AQ79" i="23"/>
  <c r="AY79" i="23"/>
  <c r="AN79" i="23"/>
  <c r="BC79" i="23"/>
  <c r="BA79" i="23"/>
  <c r="AI79" i="23"/>
  <c r="AM79" i="23"/>
  <c r="AV79" i="23"/>
  <c r="AZ79" i="23"/>
  <c r="AS79" i="23"/>
  <c r="R79" i="23"/>
  <c r="AW79" i="23"/>
  <c r="BB79" i="23"/>
  <c r="AP79" i="23"/>
  <c r="AK79" i="23"/>
  <c r="AX79" i="23"/>
  <c r="P79" i="23"/>
  <c r="AO63" i="23"/>
  <c r="AM63" i="23"/>
  <c r="AW63" i="23"/>
  <c r="BC63" i="23"/>
  <c r="AP63" i="23"/>
  <c r="AU63" i="23"/>
  <c r="AX63" i="23"/>
  <c r="AQ63" i="23"/>
  <c r="AI63" i="23"/>
  <c r="AE47" i="24"/>
  <c r="J8" i="26" s="1"/>
  <c r="AD47" i="24"/>
  <c r="I8" i="26" s="1"/>
  <c r="AA47" i="24"/>
  <c r="F8" i="26" s="1"/>
  <c r="X47" i="24"/>
  <c r="Y47" i="24"/>
  <c r="W47" i="24"/>
  <c r="B8" i="26" s="1"/>
  <c r="AF47" i="24"/>
  <c r="K10" i="26" s="1"/>
  <c r="Z47" i="24"/>
  <c r="E8" i="26" s="1"/>
  <c r="AU80" i="23"/>
  <c r="BA80" i="23"/>
  <c r="AW80" i="23"/>
  <c r="AM80" i="23"/>
  <c r="AK80" i="23"/>
  <c r="AQ80" i="23"/>
  <c r="AO80" i="23"/>
  <c r="BB80" i="23"/>
  <c r="AT80" i="23"/>
  <c r="P80" i="23"/>
  <c r="AI80" i="23"/>
  <c r="BD80" i="23"/>
  <c r="AL80" i="23"/>
  <c r="BC80" i="23"/>
  <c r="AV80" i="23"/>
  <c r="AS80" i="23"/>
  <c r="AN80" i="23"/>
  <c r="AR80" i="23"/>
  <c r="AP80" i="23"/>
  <c r="Z36" i="9"/>
  <c r="AA11" i="9"/>
  <c r="AA29" i="9"/>
  <c r="AA42" i="9"/>
  <c r="X66" i="24"/>
  <c r="AE66" i="24"/>
  <c r="Y65" i="24"/>
  <c r="Y82" i="24"/>
  <c r="AE65" i="24"/>
  <c r="W81" i="24"/>
  <c r="AI72" i="23"/>
  <c r="BA72" i="23"/>
  <c r="AV86" i="23"/>
  <c r="AJ86" i="23"/>
  <c r="BC86" i="23"/>
  <c r="BA78" i="23"/>
  <c r="AV78" i="23"/>
  <c r="AT81" i="23"/>
  <c r="AW81" i="23"/>
  <c r="AR81" i="23"/>
  <c r="AN57" i="23"/>
  <c r="AQ57" i="23"/>
  <c r="AK57" i="23"/>
  <c r="AJ57" i="23"/>
  <c r="AV83" i="23"/>
  <c r="AO85" i="23"/>
  <c r="AJ85" i="23"/>
  <c r="BD85" i="23"/>
  <c r="AM83" i="23"/>
  <c r="AQ83" i="23"/>
  <c r="I50" i="6"/>
  <c r="I35" i="13"/>
  <c r="I19" i="10"/>
  <c r="I39" i="14"/>
  <c r="I47" i="8"/>
  <c r="I13" i="14"/>
  <c r="P12" i="5"/>
  <c r="P15" i="5" s="1"/>
  <c r="I27" i="6"/>
  <c r="I8" i="6"/>
  <c r="I32" i="12"/>
  <c r="I49" i="8"/>
  <c r="I14" i="14"/>
  <c r="I21" i="24"/>
  <c r="I42" i="23"/>
  <c r="I10" i="8"/>
  <c r="AI8" i="17"/>
  <c r="Z65" i="24"/>
  <c r="Z82" i="24"/>
  <c r="AC66" i="24"/>
  <c r="W65" i="24"/>
  <c r="AQ72" i="23"/>
  <c r="AU72" i="23"/>
  <c r="AW86" i="23"/>
  <c r="AR86" i="23"/>
  <c r="AS78" i="23"/>
  <c r="AL78" i="23"/>
  <c r="BD78" i="23"/>
  <c r="BB81" i="23"/>
  <c r="AP81" i="23"/>
  <c r="AZ81" i="23"/>
  <c r="AV57" i="23"/>
  <c r="AY57" i="23"/>
  <c r="AZ85" i="23"/>
  <c r="AU85" i="23"/>
  <c r="AW85" i="23"/>
  <c r="BC83" i="23"/>
  <c r="AY83" i="23"/>
  <c r="I50" i="8"/>
  <c r="I35" i="24"/>
  <c r="I19" i="11"/>
  <c r="I28" i="8"/>
  <c r="I39" i="23"/>
  <c r="I47" i="9"/>
  <c r="I13" i="23"/>
  <c r="I27" i="8"/>
  <c r="I11" i="6"/>
  <c r="I8" i="9"/>
  <c r="I32" i="13"/>
  <c r="I14" i="23"/>
  <c r="I5" i="11"/>
  <c r="I13" i="11"/>
  <c r="I10" i="14"/>
  <c r="AC82" i="24"/>
  <c r="AF66" i="24"/>
  <c r="AF65" i="24"/>
  <c r="AC81" i="24"/>
  <c r="AX72" i="23"/>
  <c r="AY72" i="23"/>
  <c r="AI86" i="23"/>
  <c r="AZ86" i="23"/>
  <c r="R78" i="23"/>
  <c r="AT78" i="23"/>
  <c r="P78" i="23"/>
  <c r="BC81" i="23"/>
  <c r="AX81" i="23"/>
  <c r="AK81" i="23"/>
  <c r="BD57" i="23"/>
  <c r="AP85" i="23"/>
  <c r="AK85" i="23"/>
  <c r="AQ85" i="23"/>
  <c r="AN83" i="23"/>
  <c r="AJ83" i="23"/>
  <c r="I50" i="14"/>
  <c r="I26" i="7"/>
  <c r="I19" i="12"/>
  <c r="I47" i="14"/>
  <c r="I27" i="9"/>
  <c r="I11" i="9"/>
  <c r="I8" i="23"/>
  <c r="I32" i="11"/>
  <c r="I16" i="10"/>
  <c r="I5" i="12"/>
  <c r="I10" i="23"/>
  <c r="AT8" i="16"/>
  <c r="I50" i="23"/>
  <c r="I26" i="9"/>
  <c r="I19" i="13"/>
  <c r="I47" i="23"/>
  <c r="I27" i="14"/>
  <c r="I11" i="7"/>
  <c r="I16" i="12"/>
  <c r="AF81" i="24"/>
  <c r="W82" i="24"/>
  <c r="AE81" i="24"/>
  <c r="Y81" i="24"/>
  <c r="AR72" i="23"/>
  <c r="AL86" i="23"/>
  <c r="AS86" i="23"/>
  <c r="AY78" i="23"/>
  <c r="AM78" i="23"/>
  <c r="AW78" i="23"/>
  <c r="AO81" i="23"/>
  <c r="AI81" i="23"/>
  <c r="BA81" i="23"/>
  <c r="AW57" i="23"/>
  <c r="BC85" i="23"/>
  <c r="AL85" i="23"/>
  <c r="AZ57" i="23"/>
  <c r="AO83" i="23"/>
  <c r="AZ83" i="23"/>
  <c r="AI6" i="17"/>
  <c r="I26" i="6"/>
  <c r="P13" i="5"/>
  <c r="P16" i="5" s="1"/>
  <c r="I39" i="7"/>
  <c r="M67" i="6" s="1"/>
  <c r="I13" i="8"/>
  <c r="I11" i="8"/>
  <c r="I16" i="13"/>
  <c r="I20" i="9"/>
  <c r="I21" i="11"/>
  <c r="I5" i="10"/>
  <c r="I13" i="10"/>
  <c r="M47" i="10" s="1"/>
  <c r="M47" i="11" s="1"/>
  <c r="I42" i="9"/>
  <c r="AJ9" i="16"/>
  <c r="AA82" i="24"/>
  <c r="W66" i="24"/>
  <c r="AE82" i="24"/>
  <c r="Z81" i="24"/>
  <c r="AZ72" i="23"/>
  <c r="AO86" i="23"/>
  <c r="BB86" i="23"/>
  <c r="BA86" i="23"/>
  <c r="AJ78" i="23"/>
  <c r="AU78" i="23"/>
  <c r="AR57" i="23"/>
  <c r="AU81" i="23"/>
  <c r="AQ81" i="23"/>
  <c r="AM57" i="23"/>
  <c r="AP57" i="23"/>
  <c r="BA57" i="23"/>
  <c r="AR85" i="23"/>
  <c r="AT85" i="23"/>
  <c r="BB83" i="23"/>
  <c r="AP83" i="23"/>
  <c r="AK83" i="23"/>
  <c r="I26" i="8"/>
  <c r="I35" i="10"/>
  <c r="I39" i="6"/>
  <c r="I13" i="6"/>
  <c r="I11" i="14"/>
  <c r="I8" i="14"/>
  <c r="I16" i="11"/>
  <c r="W43" i="11" s="1"/>
  <c r="Z13" i="9"/>
  <c r="C8" i="26"/>
  <c r="AA65" i="24"/>
  <c r="X82" i="24"/>
  <c r="AA81" i="24"/>
  <c r="AO72" i="23"/>
  <c r="AQ86" i="23"/>
  <c r="AP86" i="23"/>
  <c r="AZ78" i="23"/>
  <c r="AV81" i="23"/>
  <c r="AU57" i="23"/>
  <c r="AM85" i="23"/>
  <c r="AI85" i="23"/>
  <c r="AL83" i="23"/>
  <c r="AX83" i="23"/>
  <c r="I16" i="24"/>
  <c r="AE73" i="24"/>
  <c r="X73" i="24"/>
  <c r="AK61" i="23"/>
  <c r="BA61" i="23"/>
  <c r="AJ61" i="23"/>
  <c r="BB61" i="23"/>
  <c r="M36" i="6"/>
  <c r="W74" i="24"/>
  <c r="Y73" i="24"/>
  <c r="AA56" i="24"/>
  <c r="AD73" i="24"/>
  <c r="AD51" i="24"/>
  <c r="AY88" i="23"/>
  <c r="AX88" i="23"/>
  <c r="AU88" i="23"/>
  <c r="AL64" i="23"/>
  <c r="AP102" i="23"/>
  <c r="AY64" i="23"/>
  <c r="AI73" i="23"/>
  <c r="BA73" i="23"/>
  <c r="AO73" i="23"/>
  <c r="AR99" i="23"/>
  <c r="AU99" i="23"/>
  <c r="AX99" i="23"/>
  <c r="AN101" i="23"/>
  <c r="AQ101" i="23"/>
  <c r="AL101" i="23"/>
  <c r="AM61" i="23"/>
  <c r="AP61" i="23"/>
  <c r="AB61" i="24"/>
  <c r="AC61" i="24"/>
  <c r="AU79" i="23"/>
  <c r="AT79" i="23"/>
  <c r="M66" i="6"/>
  <c r="AF64" i="24"/>
  <c r="Y64" i="24"/>
  <c r="AN92" i="23"/>
  <c r="AI92" i="23"/>
  <c r="AX70" i="23"/>
  <c r="BB70" i="23"/>
  <c r="AV70" i="23"/>
  <c r="AU70" i="23"/>
  <c r="AL70" i="23"/>
  <c r="AT70" i="23"/>
  <c r="AE74" i="24"/>
  <c r="AF73" i="24"/>
  <c r="Z73" i="24"/>
  <c r="AV88" i="23"/>
  <c r="AU64" i="23"/>
  <c r="BB88" i="23"/>
  <c r="AJ88" i="23"/>
  <c r="BC88" i="23"/>
  <c r="AU102" i="23"/>
  <c r="AY73" i="23"/>
  <c r="AM73" i="23"/>
  <c r="AW73" i="23"/>
  <c r="AS99" i="23"/>
  <c r="BC99" i="23"/>
  <c r="AI99" i="23"/>
  <c r="AV101" i="23"/>
  <c r="AY101" i="23"/>
  <c r="AT101" i="23"/>
  <c r="AU61" i="23"/>
  <c r="AX61" i="23"/>
  <c r="AB53" i="24"/>
  <c r="AC53" i="24"/>
  <c r="BD68" i="23"/>
  <c r="BC68" i="23"/>
  <c r="BB68" i="23"/>
  <c r="AN68" i="23"/>
  <c r="AL68" i="23"/>
  <c r="AM68" i="23"/>
  <c r="AJ80" i="23"/>
  <c r="AZ80" i="23"/>
  <c r="AY80" i="23"/>
  <c r="AX80" i="23"/>
  <c r="R80" i="23"/>
  <c r="AT59" i="23"/>
  <c r="AR59" i="23"/>
  <c r="AZ67" i="23"/>
  <c r="AK67" i="23"/>
  <c r="AF60" i="24"/>
  <c r="Y60" i="24"/>
  <c r="AF52" i="24"/>
  <c r="Y52" i="24"/>
  <c r="BD77" i="23"/>
  <c r="BC77" i="23"/>
  <c r="BB77" i="23"/>
  <c r="AB47" i="24"/>
  <c r="G8" i="26" s="1"/>
  <c r="AC47" i="24"/>
  <c r="AB55" i="24"/>
  <c r="AC55" i="24"/>
  <c r="AB51" i="24"/>
  <c r="AC51" i="24"/>
  <c r="T47" i="10"/>
  <c r="T47" i="12" s="1"/>
  <c r="X74" i="24"/>
  <c r="X51" i="24"/>
  <c r="AA73" i="24"/>
  <c r="AN88" i="23"/>
  <c r="AR88" i="23"/>
  <c r="AI102" i="23"/>
  <c r="AZ61" i="23"/>
  <c r="AJ73" i="23"/>
  <c r="AU73" i="23"/>
  <c r="AT61" i="23"/>
  <c r="AZ99" i="23"/>
  <c r="AN99" i="23"/>
  <c r="AQ99" i="23"/>
  <c r="AP73" i="23"/>
  <c r="BD101" i="23"/>
  <c r="AJ101" i="23"/>
  <c r="BB101" i="23"/>
  <c r="BC61" i="23"/>
  <c r="AI61" i="23"/>
  <c r="M69" i="6"/>
  <c r="AB57" i="24"/>
  <c r="AC57" i="24"/>
  <c r="AQ71" i="23"/>
  <c r="AJ71" i="23"/>
  <c r="AI71" i="23"/>
  <c r="AZ71" i="23"/>
  <c r="AX71" i="23"/>
  <c r="AP71" i="23"/>
  <c r="AY71" i="23"/>
  <c r="AY63" i="23"/>
  <c r="BA63" i="23"/>
  <c r="AK63" i="23"/>
  <c r="AZ63" i="23"/>
  <c r="AJ63" i="23"/>
  <c r="AV63" i="23"/>
  <c r="AT63" i="23"/>
  <c r="AS63" i="23"/>
  <c r="BD63" i="23"/>
  <c r="AN63" i="23"/>
  <c r="BB63" i="23"/>
  <c r="AL63" i="23"/>
  <c r="AR63" i="23"/>
  <c r="AF58" i="24"/>
  <c r="Y58" i="24"/>
  <c r="AJ84" i="23"/>
  <c r="AI84" i="23"/>
  <c r="AF56" i="24"/>
  <c r="Y56" i="24"/>
  <c r="AE56" i="24"/>
  <c r="Z34" i="9"/>
  <c r="AA20" i="9"/>
  <c r="AA16" i="9"/>
  <c r="AA30" i="9"/>
  <c r="AA24" i="9"/>
  <c r="AA46" i="9"/>
  <c r="AA43" i="9"/>
  <c r="X56" i="24"/>
  <c r="AD56" i="24"/>
  <c r="AC56" i="24"/>
  <c r="AF74" i="24"/>
  <c r="AB56" i="24"/>
  <c r="AB73" i="24"/>
  <c r="BD88" i="23"/>
  <c r="AZ88" i="23"/>
  <c r="AZ73" i="23"/>
  <c r="BC73" i="23"/>
  <c r="BA99" i="23"/>
  <c r="AV99" i="23"/>
  <c r="AY99" i="23"/>
  <c r="AO101" i="23"/>
  <c r="AR101" i="23"/>
  <c r="AM101" i="23"/>
  <c r="AN61" i="23"/>
  <c r="AQ61" i="23"/>
  <c r="D30" i="5"/>
  <c r="AX78" i="23"/>
  <c r="AQ78" i="23"/>
  <c r="AP78" i="23"/>
  <c r="AR78" i="23"/>
  <c r="AB65" i="24"/>
  <c r="AC65" i="24"/>
  <c r="AN86" i="23"/>
  <c r="BD86" i="23"/>
  <c r="AN81" i="23"/>
  <c r="AM81" i="23"/>
  <c r="AL81" i="23"/>
  <c r="AL57" i="23"/>
  <c r="AS57" i="23"/>
  <c r="AT57" i="23"/>
  <c r="AB66" i="24"/>
  <c r="Y66" i="24"/>
  <c r="AV72" i="23"/>
  <c r="AT72" i="23"/>
  <c r="AN72" i="23"/>
  <c r="AM72" i="23"/>
  <c r="AL72" i="23"/>
  <c r="BC72" i="23"/>
  <c r="BB72" i="23"/>
  <c r="BD72" i="23"/>
  <c r="BC64" i="23"/>
  <c r="AQ64" i="23"/>
  <c r="AP64" i="23"/>
  <c r="BD64" i="23"/>
  <c r="AO64" i="23"/>
  <c r="AZ64" i="23"/>
  <c r="AN64" i="23"/>
  <c r="AX64" i="23"/>
  <c r="AJ64" i="23"/>
  <c r="AV64" i="23"/>
  <c r="AR64" i="23"/>
  <c r="AW64" i="23"/>
  <c r="AI64" i="23"/>
  <c r="Z27" i="9"/>
  <c r="AA8" i="9"/>
  <c r="AA23" i="9"/>
  <c r="AA36" i="9"/>
  <c r="AA28" i="9"/>
  <c r="AA50" i="9"/>
  <c r="AA47" i="9"/>
  <c r="Y74" i="24"/>
  <c r="Z56" i="24"/>
  <c r="AO88" i="23"/>
  <c r="AK88" i="23"/>
  <c r="BA64" i="23"/>
  <c r="AL73" i="23"/>
  <c r="AN73" i="23"/>
  <c r="AL99" i="23"/>
  <c r="BD99" i="23"/>
  <c r="AW101" i="23"/>
  <c r="AZ101" i="23"/>
  <c r="AU101" i="23"/>
  <c r="AV61" i="23"/>
  <c r="AY61" i="23"/>
  <c r="AQ69" i="23"/>
  <c r="AR69" i="23"/>
  <c r="AA72" i="24"/>
  <c r="Z72" i="24"/>
  <c r="AB63" i="24"/>
  <c r="AC63" i="24"/>
  <c r="W47" i="10"/>
  <c r="AA74" i="24"/>
  <c r="Z74" i="24"/>
  <c r="AQ88" i="23"/>
  <c r="AS88" i="23"/>
  <c r="AS64" i="23"/>
  <c r="BD102" i="23"/>
  <c r="AR73" i="23"/>
  <c r="AT73" i="23"/>
  <c r="BB73" i="23"/>
  <c r="AV73" i="23"/>
  <c r="AT99" i="23"/>
  <c r="AO99" i="23"/>
  <c r="AS61" i="23"/>
  <c r="AR61" i="23"/>
  <c r="AL61" i="23"/>
  <c r="AP101" i="23"/>
  <c r="AK101" i="23"/>
  <c r="BC101" i="23"/>
  <c r="BD61" i="23"/>
  <c r="X77" i="24"/>
  <c r="AF77" i="24"/>
  <c r="AB59" i="24"/>
  <c r="AC59" i="24"/>
  <c r="AU87" i="23"/>
  <c r="AS87" i="23"/>
  <c r="AR87" i="23"/>
  <c r="BB65" i="23"/>
  <c r="AR65" i="23"/>
  <c r="AL65" i="23"/>
  <c r="P43" i="10"/>
  <c r="R43" i="10"/>
  <c r="Z47" i="9"/>
  <c r="AA22" i="9"/>
  <c r="AA10" i="9"/>
  <c r="AA25" i="9"/>
  <c r="AA34" i="9"/>
  <c r="Y43" i="10"/>
  <c r="W73" i="24"/>
  <c r="AC74" i="24"/>
  <c r="AE51" i="24"/>
  <c r="AL88" i="23"/>
  <c r="AT88" i="23"/>
  <c r="BA88" i="23"/>
  <c r="BB64" i="23"/>
  <c r="AK64" i="23"/>
  <c r="AT102" i="23"/>
  <c r="AX73" i="23"/>
  <c r="AK73" i="23"/>
  <c r="BD73" i="23"/>
  <c r="AJ99" i="23"/>
  <c r="BB99" i="23"/>
  <c r="AX101" i="23"/>
  <c r="AO61" i="23"/>
  <c r="AF48" i="24"/>
  <c r="K8" i="26" s="1"/>
  <c r="Y48" i="24"/>
  <c r="D8" i="26" s="1"/>
  <c r="AF50" i="24"/>
  <c r="Y50" i="24"/>
  <c r="BC60" i="23"/>
  <c r="AP60" i="23"/>
  <c r="AO60" i="23"/>
  <c r="BD60" i="23"/>
  <c r="AN60" i="23"/>
  <c r="AZ60" i="23"/>
  <c r="AJ60" i="23"/>
  <c r="AX60" i="23"/>
  <c r="AV60" i="23"/>
  <c r="AR60" i="23"/>
  <c r="AW60" i="23"/>
  <c r="AJ76" i="23"/>
  <c r="AI76" i="23"/>
  <c r="AB49" i="24"/>
  <c r="AC49" i="24"/>
  <c r="BC62" i="23"/>
  <c r="AR62" i="23"/>
  <c r="AQ62" i="23"/>
  <c r="BD62" i="23"/>
  <c r="AP62" i="23"/>
  <c r="AZ62" i="23"/>
  <c r="AO62" i="23"/>
  <c r="AY62" i="23"/>
  <c r="AN62" i="23"/>
  <c r="AW62" i="23"/>
  <c r="AI62" i="23"/>
  <c r="AV62" i="23"/>
  <c r="AX62" i="23"/>
  <c r="AJ62" i="23"/>
  <c r="Z22" i="9"/>
  <c r="Z42" i="9"/>
  <c r="Z25" i="9"/>
  <c r="Z31" i="9"/>
  <c r="Z49" i="9"/>
  <c r="Z18" i="9"/>
  <c r="Z29" i="9"/>
  <c r="Z50" i="9"/>
  <c r="Z32" i="9"/>
  <c r="Z51" i="9"/>
  <c r="Z9" i="9"/>
  <c r="Z26" i="9"/>
  <c r="Z35" i="9"/>
  <c r="Z46" i="9"/>
  <c r="Z40" i="9"/>
  <c r="Z15" i="9"/>
  <c r="Z5" i="9"/>
  <c r="Z30" i="9"/>
  <c r="Z16" i="9"/>
  <c r="Z33" i="9"/>
  <c r="Z44" i="9"/>
  <c r="Z11" i="9"/>
  <c r="Z19" i="9"/>
  <c r="Z38" i="9"/>
  <c r="Z20" i="9"/>
  <c r="Z37" i="9"/>
  <c r="Z48" i="9"/>
  <c r="Z7" i="9"/>
  <c r="Z14" i="9"/>
  <c r="Z17" i="9"/>
  <c r="Z24" i="9"/>
  <c r="Z41" i="9"/>
  <c r="Z39" i="9"/>
  <c r="Z12" i="9"/>
  <c r="Z10" i="9"/>
  <c r="Z21" i="9"/>
  <c r="Z28" i="9"/>
  <c r="Z45" i="9"/>
  <c r="Z43" i="9"/>
  <c r="Z8" i="9"/>
  <c r="AH58" i="8"/>
  <c r="I10" i="26"/>
  <c r="E10" i="26"/>
  <c r="J10" i="26"/>
  <c r="D10" i="26"/>
  <c r="B10" i="26"/>
  <c r="C10" i="26"/>
  <c r="G10" i="26"/>
  <c r="F10" i="26"/>
  <c r="X10" i="21"/>
  <c r="AF10" i="21" s="1"/>
  <c r="X11" i="21"/>
  <c r="AF11" i="21" s="1"/>
  <c r="X9" i="21"/>
  <c r="AF9" i="21" s="1"/>
  <c r="AT9" i="16"/>
  <c r="L44" i="12"/>
  <c r="L48" i="12" s="1"/>
  <c r="R44" i="12"/>
  <c r="R44" i="11"/>
  <c r="R44" i="10"/>
  <c r="R44" i="13"/>
  <c r="E36" i="5"/>
  <c r="Q45" i="13"/>
  <c r="Q45" i="12"/>
  <c r="Q45" i="11"/>
  <c r="Q48" i="11" s="1"/>
  <c r="Q47" i="11" s="1"/>
  <c r="Q45" i="10"/>
  <c r="F36" i="5"/>
  <c r="Q46" i="13"/>
  <c r="Q46" i="12"/>
  <c r="Q48" i="12" s="1"/>
  <c r="Q47" i="12" s="1"/>
  <c r="Q46" i="11"/>
  <c r="Q46" i="10"/>
  <c r="T47" i="11"/>
  <c r="M47" i="12"/>
  <c r="AL55" i="9"/>
  <c r="AL55" i="8"/>
  <c r="AL55" i="7"/>
  <c r="AL57" i="6"/>
  <c r="AL54" i="8"/>
  <c r="AL54" i="9"/>
  <c r="AL54" i="7"/>
  <c r="AB54" i="8"/>
  <c r="AB54" i="9"/>
  <c r="AB54" i="7"/>
  <c r="D34" i="5"/>
  <c r="M7" i="6" l="1"/>
  <c r="L55" i="6"/>
  <c r="L60" i="6" s="1"/>
  <c r="M13" i="6"/>
  <c r="M27" i="6"/>
  <c r="P55" i="6"/>
  <c r="P60" i="6" s="1"/>
  <c r="M31" i="6"/>
  <c r="R55" i="6"/>
  <c r="R60" i="6" s="1"/>
  <c r="M8" i="6"/>
  <c r="W55" i="6"/>
  <c r="W60" i="6" s="1"/>
  <c r="Y55" i="6"/>
  <c r="M34" i="6"/>
  <c r="M47" i="6"/>
  <c r="M26" i="6"/>
  <c r="AF55" i="6"/>
  <c r="AF60" i="6" s="1"/>
  <c r="Z55" i="6"/>
  <c r="M45" i="6"/>
  <c r="M24" i="6"/>
  <c r="U55" i="6"/>
  <c r="U60" i="6" s="1"/>
  <c r="S55" i="6"/>
  <c r="S60" i="6" s="1"/>
  <c r="M12" i="6"/>
  <c r="AA55" i="6"/>
  <c r="M25" i="6"/>
  <c r="M46" i="6"/>
  <c r="O55" i="6"/>
  <c r="O60" i="6" s="1"/>
  <c r="M44" i="6"/>
  <c r="V55" i="6"/>
  <c r="M30" i="6"/>
  <c r="M42" i="6"/>
  <c r="M43" i="6"/>
  <c r="Q55" i="6"/>
  <c r="Q60" i="6" s="1"/>
  <c r="M14" i="6"/>
  <c r="AH55" i="6"/>
  <c r="AH60" i="6" s="1"/>
  <c r="AE55" i="6"/>
  <c r="AE60" i="6" s="1"/>
  <c r="M21" i="6"/>
  <c r="M41" i="6"/>
  <c r="M51" i="6"/>
  <c r="M22" i="6"/>
  <c r="M23" i="6"/>
  <c r="X55" i="6"/>
  <c r="X60" i="6" s="1"/>
  <c r="M48" i="6"/>
  <c r="BD94" i="23"/>
  <c r="BA94" i="23"/>
  <c r="AI94" i="23"/>
  <c r="AS94" i="23"/>
  <c r="AX94" i="23"/>
  <c r="AZ94" i="23"/>
  <c r="BC94" i="23"/>
  <c r="AK94" i="23"/>
  <c r="AP94" i="23"/>
  <c r="AU94" i="23"/>
  <c r="AW94" i="23"/>
  <c r="AM94" i="23"/>
  <c r="AR94" i="23"/>
  <c r="AV94" i="23"/>
  <c r="AL94" i="23"/>
  <c r="BB94" i="23"/>
  <c r="AJ94" i="23"/>
  <c r="AO94" i="23"/>
  <c r="AQ94" i="23"/>
  <c r="AT94" i="23"/>
  <c r="AY94" i="23"/>
  <c r="AN94" i="23"/>
  <c r="AO102" i="23"/>
  <c r="BB102" i="23"/>
  <c r="AJ102" i="23"/>
  <c r="AW102" i="23"/>
  <c r="AX102" i="23"/>
  <c r="AS102" i="23"/>
  <c r="AN102" i="23"/>
  <c r="AQ102" i="23"/>
  <c r="BA102" i="23"/>
  <c r="AV102" i="23"/>
  <c r="AY102" i="23"/>
  <c r="AR102" i="23"/>
  <c r="AK102" i="23"/>
  <c r="AM102" i="23"/>
  <c r="AZ102" i="23"/>
  <c r="BC102" i="23"/>
  <c r="AL102" i="23"/>
  <c r="M20" i="6"/>
  <c r="AF53" i="7"/>
  <c r="Z53" i="7"/>
  <c r="Z58" i="7" s="1"/>
  <c r="AE53" i="7"/>
  <c r="M63" i="6"/>
  <c r="AA53" i="7"/>
  <c r="AA58" i="7" s="1"/>
  <c r="AG53" i="7"/>
  <c r="O47" i="10"/>
  <c r="Y47" i="10"/>
  <c r="O43" i="10"/>
  <c r="N47" i="10"/>
  <c r="X43" i="10"/>
  <c r="V43" i="10"/>
  <c r="AA43" i="10"/>
  <c r="U47" i="10"/>
  <c r="S47" i="10"/>
  <c r="M43" i="10"/>
  <c r="M48" i="10" s="1"/>
  <c r="Z43" i="10"/>
  <c r="T43" i="10"/>
  <c r="T48" i="10" s="1"/>
  <c r="N43" i="10"/>
  <c r="N48" i="10" s="1"/>
  <c r="U43" i="10"/>
  <c r="U48" i="10" s="1"/>
  <c r="L43" i="10"/>
  <c r="W43" i="10"/>
  <c r="W48" i="10" s="1"/>
  <c r="AI55" i="6"/>
  <c r="AI60" i="6" s="1"/>
  <c r="M39" i="6"/>
  <c r="M29" i="6"/>
  <c r="M49" i="6"/>
  <c r="M18" i="6"/>
  <c r="M38" i="6"/>
  <c r="M11" i="6"/>
  <c r="Q43" i="10"/>
  <c r="Q48" i="10" s="1"/>
  <c r="S43" i="10"/>
  <c r="M50" i="6"/>
  <c r="M35" i="6"/>
  <c r="M17" i="6"/>
  <c r="M40" i="6"/>
  <c r="M19" i="6"/>
  <c r="M37" i="6"/>
  <c r="X63" i="24"/>
  <c r="AF63" i="24"/>
  <c r="AE63" i="24"/>
  <c r="W63" i="24"/>
  <c r="Z63" i="24"/>
  <c r="Y63" i="24"/>
  <c r="D6" i="26" s="1"/>
  <c r="AA63" i="24"/>
  <c r="AD63" i="24"/>
  <c r="M32" i="6"/>
  <c r="M33" i="6"/>
  <c r="AC58" i="24"/>
  <c r="AE58" i="24"/>
  <c r="AD58" i="24"/>
  <c r="I6" i="26" s="1"/>
  <c r="Z58" i="24"/>
  <c r="E6" i="26" s="1"/>
  <c r="AB58" i="24"/>
  <c r="G6" i="26" s="1"/>
  <c r="X58" i="24"/>
  <c r="C6" i="26" s="1"/>
  <c r="W58" i="24"/>
  <c r="B6" i="26" s="1"/>
  <c r="AA58" i="24"/>
  <c r="F6" i="26" s="1"/>
  <c r="AO65" i="23"/>
  <c r="BA65" i="23"/>
  <c r="BD65" i="23"/>
  <c r="W10" i="25" s="1"/>
  <c r="AN65" i="23"/>
  <c r="G10" i="25" s="1"/>
  <c r="AZ65" i="23"/>
  <c r="S10" i="25" s="1"/>
  <c r="AY65" i="23"/>
  <c r="AV65" i="23"/>
  <c r="O10" i="25" s="1"/>
  <c r="AQ65" i="23"/>
  <c r="J8" i="25" s="1"/>
  <c r="AT65" i="23"/>
  <c r="AS65" i="23"/>
  <c r="AI65" i="23"/>
  <c r="BC65" i="23"/>
  <c r="V10" i="25" s="1"/>
  <c r="AK65" i="23"/>
  <c r="AW65" i="23"/>
  <c r="AX65" i="23"/>
  <c r="Q10" i="25" s="1"/>
  <c r="AU65" i="23"/>
  <c r="AJ65" i="23"/>
  <c r="C10" i="25" s="1"/>
  <c r="AP65" i="23"/>
  <c r="AM65" i="23"/>
  <c r="M28" i="6"/>
  <c r="AW99" i="23"/>
  <c r="AP99" i="23"/>
  <c r="I6" i="25" s="1"/>
  <c r="AM99" i="23"/>
  <c r="AK99" i="23"/>
  <c r="AL62" i="23"/>
  <c r="AT62" i="23"/>
  <c r="BA62" i="23"/>
  <c r="T8" i="25" s="1"/>
  <c r="BB62" i="23"/>
  <c r="AM62" i="23"/>
  <c r="AK62" i="23"/>
  <c r="AU62" i="23"/>
  <c r="AS62" i="23"/>
  <c r="X43" i="11"/>
  <c r="BD91" i="23"/>
  <c r="AU91" i="23"/>
  <c r="AY91" i="23"/>
  <c r="AV91" i="23"/>
  <c r="AS91" i="23"/>
  <c r="AQ91" i="23"/>
  <c r="AN91" i="23"/>
  <c r="AR91" i="23"/>
  <c r="AI91" i="23"/>
  <c r="BB91" i="23"/>
  <c r="BC91" i="23"/>
  <c r="AX91" i="23"/>
  <c r="AT91" i="23"/>
  <c r="AM91" i="23"/>
  <c r="AP91" i="23"/>
  <c r="AL91" i="23"/>
  <c r="AK91" i="23"/>
  <c r="AO91" i="23"/>
  <c r="AZ91" i="23"/>
  <c r="AW91" i="23"/>
  <c r="BA91" i="23"/>
  <c r="AJ91" i="23"/>
  <c r="AA53" i="9"/>
  <c r="N8" i="25"/>
  <c r="C8" i="25"/>
  <c r="AP66" i="23"/>
  <c r="BC66" i="23"/>
  <c r="AK66" i="23"/>
  <c r="BD66" i="23"/>
  <c r="AU66" i="23"/>
  <c r="AZ66" i="23"/>
  <c r="AO66" i="23"/>
  <c r="H8" i="25" s="1"/>
  <c r="AM66" i="23"/>
  <c r="AR66" i="23"/>
  <c r="AN66" i="23"/>
  <c r="AX66" i="23"/>
  <c r="BB66" i="23"/>
  <c r="AJ66" i="23"/>
  <c r="AW66" i="23"/>
  <c r="AT66" i="23"/>
  <c r="AY66" i="23"/>
  <c r="AV66" i="23"/>
  <c r="AL66" i="23"/>
  <c r="AQ66" i="23"/>
  <c r="AS66" i="23"/>
  <c r="BA66" i="23"/>
  <c r="AI66" i="23"/>
  <c r="AC55" i="6"/>
  <c r="AC60" i="6" s="1"/>
  <c r="B8" i="25"/>
  <c r="K10" i="25"/>
  <c r="I8" i="25"/>
  <c r="E6" i="25"/>
  <c r="M64" i="6"/>
  <c r="M70" i="6" s="1"/>
  <c r="AY60" i="23"/>
  <c r="AK60" i="23"/>
  <c r="AM60" i="23"/>
  <c r="F10" i="25" s="1"/>
  <c r="AS60" i="23"/>
  <c r="L8" i="25" s="1"/>
  <c r="AU60" i="23"/>
  <c r="N6" i="25" s="1"/>
  <c r="BA60" i="23"/>
  <c r="BB60" i="23"/>
  <c r="AL60" i="23"/>
  <c r="E10" i="25" s="1"/>
  <c r="AQ60" i="23"/>
  <c r="AI60" i="23"/>
  <c r="B10" i="25" s="1"/>
  <c r="AT60" i="23"/>
  <c r="M6" i="25" s="1"/>
  <c r="AA77" i="24"/>
  <c r="W77" i="24"/>
  <c r="AB77" i="24"/>
  <c r="AC77" i="24"/>
  <c r="H6" i="26" s="1"/>
  <c r="Z77" i="24"/>
  <c r="AE77" i="24"/>
  <c r="Y77" i="24"/>
  <c r="AD77" i="24"/>
  <c r="O28" i="7"/>
  <c r="O28" i="9" s="1"/>
  <c r="O50" i="7"/>
  <c r="O34" i="7"/>
  <c r="O37" i="7"/>
  <c r="O12" i="7"/>
  <c r="O10" i="7"/>
  <c r="C6" i="25"/>
  <c r="T10" i="25"/>
  <c r="K6" i="26"/>
  <c r="B6" i="25"/>
  <c r="G8" i="25"/>
  <c r="O40" i="7"/>
  <c r="O41" i="7"/>
  <c r="O24" i="7"/>
  <c r="O48" i="7"/>
  <c r="O16" i="7"/>
  <c r="O14" i="7"/>
  <c r="R8" i="25"/>
  <c r="S8" i="25"/>
  <c r="O39" i="7"/>
  <c r="O30" i="7"/>
  <c r="O26" i="7"/>
  <c r="O7" i="7"/>
  <c r="O5" i="7"/>
  <c r="O25" i="7"/>
  <c r="L44" i="11"/>
  <c r="L48" i="11" s="1"/>
  <c r="P8" i="25"/>
  <c r="L6" i="25"/>
  <c r="Q13" i="11"/>
  <c r="R13" i="11" s="1"/>
  <c r="V8" i="25"/>
  <c r="O49" i="7"/>
  <c r="O11" i="7"/>
  <c r="L44" i="10"/>
  <c r="O45" i="7"/>
  <c r="O22" i="7"/>
  <c r="O31" i="7"/>
  <c r="O33" i="7"/>
  <c r="O33" i="9" s="1"/>
  <c r="O44" i="7"/>
  <c r="O15" i="7"/>
  <c r="O13" i="7"/>
  <c r="P44" i="7"/>
  <c r="P37" i="7"/>
  <c r="P33" i="7"/>
  <c r="P33" i="9" s="1"/>
  <c r="P7" i="7"/>
  <c r="P20" i="7"/>
  <c r="P20" i="9" s="1"/>
  <c r="P28" i="7"/>
  <c r="L44" i="13"/>
  <c r="I10" i="25"/>
  <c r="K6" i="25"/>
  <c r="W6" i="25"/>
  <c r="D4" i="5"/>
  <c r="E30" i="5" s="1"/>
  <c r="K8" i="25"/>
  <c r="H8" i="26"/>
  <c r="L8" i="26" s="1"/>
  <c r="H10" i="26"/>
  <c r="W8" i="25"/>
  <c r="O42" i="7"/>
  <c r="O9" i="7"/>
  <c r="O27" i="7"/>
  <c r="O32" i="7"/>
  <c r="O32" i="9" s="1"/>
  <c r="O21" i="7"/>
  <c r="O47" i="7"/>
  <c r="O47" i="9" s="1"/>
  <c r="O19" i="7"/>
  <c r="P49" i="7"/>
  <c r="P49" i="9" s="1"/>
  <c r="P38" i="7"/>
  <c r="P38" i="9" s="1"/>
  <c r="P34" i="7"/>
  <c r="P34" i="9" s="1"/>
  <c r="P11" i="7"/>
  <c r="P21" i="7"/>
  <c r="F4" i="5"/>
  <c r="E4" i="5"/>
  <c r="Z53" i="9"/>
  <c r="F30" i="5"/>
  <c r="L10" i="26"/>
  <c r="P44" i="9"/>
  <c r="P37" i="9"/>
  <c r="P28" i="9"/>
  <c r="M9" i="11"/>
  <c r="M15" i="11"/>
  <c r="M6" i="11"/>
  <c r="M8" i="11"/>
  <c r="M10" i="11"/>
  <c r="M5" i="11"/>
  <c r="M7" i="11"/>
  <c r="M23" i="11"/>
  <c r="M16" i="11"/>
  <c r="M26" i="11"/>
  <c r="M37" i="11"/>
  <c r="M40" i="11"/>
  <c r="M20" i="11"/>
  <c r="M12" i="11"/>
  <c r="M13" i="11"/>
  <c r="M31" i="11"/>
  <c r="M25" i="11"/>
  <c r="M28" i="11"/>
  <c r="M21" i="11"/>
  <c r="M22" i="11"/>
  <c r="M33" i="11"/>
  <c r="M36" i="11"/>
  <c r="M29" i="11"/>
  <c r="M30" i="11"/>
  <c r="M41" i="11"/>
  <c r="M11" i="11"/>
  <c r="M17" i="11"/>
  <c r="M38" i="11"/>
  <c r="M18" i="11"/>
  <c r="M27" i="11"/>
  <c r="M32" i="11"/>
  <c r="M34" i="11"/>
  <c r="M35" i="11"/>
  <c r="M14" i="11"/>
  <c r="M24" i="11"/>
  <c r="M19" i="11"/>
  <c r="M39" i="11"/>
  <c r="O27" i="9"/>
  <c r="O21" i="9"/>
  <c r="O19" i="9"/>
  <c r="Q13" i="13"/>
  <c r="R13" i="13" s="1"/>
  <c r="P11" i="9"/>
  <c r="P21" i="9"/>
  <c r="O31" i="9"/>
  <c r="P7" i="9"/>
  <c r="T10" i="11"/>
  <c r="T7" i="11"/>
  <c r="T9" i="11"/>
  <c r="T15" i="11"/>
  <c r="T6" i="11"/>
  <c r="T32" i="11"/>
  <c r="T5" i="11"/>
  <c r="T8" i="11"/>
  <c r="T16" i="11"/>
  <c r="T20" i="11"/>
  <c r="T29" i="11"/>
  <c r="T41" i="11"/>
  <c r="T23" i="11"/>
  <c r="T19" i="11"/>
  <c r="T13" i="11"/>
  <c r="T31" i="11"/>
  <c r="T27" i="11"/>
  <c r="T30" i="11"/>
  <c r="T26" i="11"/>
  <c r="T22" i="11"/>
  <c r="T39" i="11"/>
  <c r="T40" i="11"/>
  <c r="T17" i="11"/>
  <c r="T18" i="11"/>
  <c r="T25" i="11"/>
  <c r="T34" i="11"/>
  <c r="T35" i="11"/>
  <c r="T11" i="11"/>
  <c r="T28" i="11"/>
  <c r="T33" i="11"/>
  <c r="T14" i="11"/>
  <c r="T36" i="11"/>
  <c r="T12" i="11"/>
  <c r="T21" i="11"/>
  <c r="T37" i="11"/>
  <c r="T24" i="11"/>
  <c r="T38" i="11"/>
  <c r="O50" i="9"/>
  <c r="O34" i="9"/>
  <c r="O37" i="9"/>
  <c r="O12" i="9"/>
  <c r="O10" i="9"/>
  <c r="Q13" i="12"/>
  <c r="O44" i="9"/>
  <c r="O40" i="9"/>
  <c r="O41" i="9"/>
  <c r="O24" i="9"/>
  <c r="O48" i="9"/>
  <c r="O14" i="9"/>
  <c r="D45" i="5"/>
  <c r="P44" i="13"/>
  <c r="P44" i="12"/>
  <c r="P44" i="10"/>
  <c r="P44" i="11"/>
  <c r="N9" i="11"/>
  <c r="N15" i="11"/>
  <c r="N6" i="11"/>
  <c r="N8" i="11"/>
  <c r="N10" i="11"/>
  <c r="N5" i="11"/>
  <c r="N7" i="11"/>
  <c r="N31" i="11"/>
  <c r="N13" i="11"/>
  <c r="N30" i="11"/>
  <c r="N18" i="11"/>
  <c r="N39" i="11"/>
  <c r="N24" i="11"/>
  <c r="N35" i="11"/>
  <c r="N32" i="11"/>
  <c r="N20" i="11"/>
  <c r="N17" i="11"/>
  <c r="N28" i="11"/>
  <c r="N29" i="11"/>
  <c r="N33" i="11"/>
  <c r="N21" i="11"/>
  <c r="N40" i="11"/>
  <c r="N22" i="11"/>
  <c r="N19" i="11"/>
  <c r="N38" i="11"/>
  <c r="N16" i="11"/>
  <c r="N27" i="11"/>
  <c r="N34" i="11"/>
  <c r="N11" i="11"/>
  <c r="N37" i="11"/>
  <c r="N36" i="11"/>
  <c r="N14" i="11"/>
  <c r="N41" i="11"/>
  <c r="N23" i="11"/>
  <c r="N26" i="11"/>
  <c r="N25" i="11"/>
  <c r="N12" i="11"/>
  <c r="O22" i="9"/>
  <c r="O15" i="9"/>
  <c r="O39" i="9"/>
  <c r="O30" i="9"/>
  <c r="O26" i="9"/>
  <c r="O7" i="9"/>
  <c r="O5" i="9"/>
  <c r="O25" i="9"/>
  <c r="O13" i="9"/>
  <c r="U7" i="11"/>
  <c r="U9" i="11"/>
  <c r="U15" i="11"/>
  <c r="U6" i="11"/>
  <c r="U8" i="11"/>
  <c r="U5" i="11"/>
  <c r="U14" i="11"/>
  <c r="U10" i="11"/>
  <c r="U21" i="11"/>
  <c r="U32" i="11"/>
  <c r="U19" i="11"/>
  <c r="U11" i="11"/>
  <c r="U37" i="11"/>
  <c r="U18" i="11"/>
  <c r="U22" i="11"/>
  <c r="U39" i="11"/>
  <c r="U38" i="11"/>
  <c r="U26" i="11"/>
  <c r="U41" i="11"/>
  <c r="U34" i="11"/>
  <c r="U40" i="11"/>
  <c r="U20" i="11"/>
  <c r="U12" i="11"/>
  <c r="U25" i="11"/>
  <c r="U36" i="11"/>
  <c r="U29" i="11"/>
  <c r="U30" i="11"/>
  <c r="U33" i="11"/>
  <c r="U27" i="11"/>
  <c r="U16" i="11"/>
  <c r="U17" i="11"/>
  <c r="U13" i="11"/>
  <c r="U35" i="11"/>
  <c r="U28" i="11"/>
  <c r="U24" i="11"/>
  <c r="U31" i="11"/>
  <c r="U23" i="11"/>
  <c r="R46" i="12"/>
  <c r="R46" i="11"/>
  <c r="R46" i="13"/>
  <c r="R46" i="10"/>
  <c r="O49" i="9"/>
  <c r="O42" i="9"/>
  <c r="O45" i="9"/>
  <c r="O11" i="9"/>
  <c r="O9" i="9"/>
  <c r="R45" i="12"/>
  <c r="R45" i="11"/>
  <c r="R45" i="10"/>
  <c r="R45" i="13"/>
  <c r="N56" i="6"/>
  <c r="D10" i="5"/>
  <c r="T56" i="6" s="1"/>
  <c r="AC40" i="7" l="1"/>
  <c r="AC12" i="7"/>
  <c r="AC10" i="7"/>
  <c r="AC42" i="7"/>
  <c r="AC44" i="7"/>
  <c r="AC51" i="7"/>
  <c r="AC39" i="7"/>
  <c r="AC8" i="7"/>
  <c r="AC6" i="7"/>
  <c r="AC24" i="7"/>
  <c r="AC29" i="7"/>
  <c r="AC31" i="7"/>
  <c r="AC49" i="7"/>
  <c r="AC15" i="7"/>
  <c r="AC13" i="7"/>
  <c r="AC50" i="7"/>
  <c r="AC37" i="7"/>
  <c r="AC26" i="7"/>
  <c r="AC25" i="7"/>
  <c r="AC7" i="7"/>
  <c r="AC5" i="7"/>
  <c r="AC43" i="7"/>
  <c r="AC27" i="7"/>
  <c r="AC46" i="7"/>
  <c r="AC20" i="7"/>
  <c r="AC18" i="7"/>
  <c r="AC22" i="7"/>
  <c r="AC41" i="7"/>
  <c r="AC23" i="7"/>
  <c r="AC45" i="7"/>
  <c r="AC14" i="7"/>
  <c r="AC30" i="7"/>
  <c r="AC17" i="7"/>
  <c r="AC38" i="7"/>
  <c r="AC9" i="7"/>
  <c r="AC32" i="7"/>
  <c r="AC34" i="7"/>
  <c r="AC35" i="7"/>
  <c r="AC21" i="7"/>
  <c r="AC33" i="7"/>
  <c r="AC48" i="7"/>
  <c r="AC11" i="7"/>
  <c r="AC16" i="7"/>
  <c r="AC28" i="7"/>
  <c r="AC47" i="7"/>
  <c r="AC19" i="7"/>
  <c r="AC36" i="7"/>
  <c r="U6" i="25"/>
  <c r="U10" i="25"/>
  <c r="U8" i="25"/>
  <c r="E8" i="25"/>
  <c r="M10" i="25"/>
  <c r="G6" i="25"/>
  <c r="J10" i="25"/>
  <c r="R6" i="25"/>
  <c r="J6" i="26"/>
  <c r="L6" i="26" s="1"/>
  <c r="O48" i="10"/>
  <c r="Z47" i="8"/>
  <c r="Y47" i="23" s="1"/>
  <c r="Y99" i="23" s="1"/>
  <c r="Z39" i="8"/>
  <c r="Y39" i="23" s="1"/>
  <c r="Y91" i="23" s="1"/>
  <c r="Z24" i="8"/>
  <c r="Y24" i="23" s="1"/>
  <c r="Y76" i="23" s="1"/>
  <c r="Z5" i="8"/>
  <c r="Z38" i="8"/>
  <c r="Y38" i="23" s="1"/>
  <c r="Y90" i="23" s="1"/>
  <c r="Z25" i="8"/>
  <c r="Y25" i="23" s="1"/>
  <c r="Y77" i="23" s="1"/>
  <c r="Z46" i="8"/>
  <c r="Y46" i="23" s="1"/>
  <c r="Y98" i="23" s="1"/>
  <c r="Z49" i="8"/>
  <c r="Y49" i="23" s="1"/>
  <c r="Y101" i="23" s="1"/>
  <c r="Z6" i="8"/>
  <c r="Y6" i="23" s="1"/>
  <c r="Y58" i="23" s="1"/>
  <c r="Z28" i="8"/>
  <c r="Y28" i="23" s="1"/>
  <c r="Y80" i="23" s="1"/>
  <c r="Z20" i="8"/>
  <c r="Y20" i="23" s="1"/>
  <c r="Y72" i="23" s="1"/>
  <c r="Z36" i="8"/>
  <c r="Y36" i="23" s="1"/>
  <c r="Y88" i="23" s="1"/>
  <c r="Z33" i="8"/>
  <c r="Y33" i="23" s="1"/>
  <c r="Y85" i="23" s="1"/>
  <c r="Z43" i="8"/>
  <c r="Y43" i="23" s="1"/>
  <c r="Y95" i="23" s="1"/>
  <c r="Z16" i="8"/>
  <c r="Y16" i="23" s="1"/>
  <c r="Y68" i="23" s="1"/>
  <c r="Z14" i="8"/>
  <c r="Y14" i="23" s="1"/>
  <c r="Y66" i="23" s="1"/>
  <c r="Z13" i="8"/>
  <c r="Y13" i="23" s="1"/>
  <c r="Y65" i="23" s="1"/>
  <c r="Z30" i="8"/>
  <c r="Y30" i="23" s="1"/>
  <c r="Y82" i="23" s="1"/>
  <c r="Z18" i="8"/>
  <c r="Y18" i="23" s="1"/>
  <c r="Y70" i="23" s="1"/>
  <c r="Z35" i="8"/>
  <c r="Y35" i="23" s="1"/>
  <c r="Y87" i="23" s="1"/>
  <c r="Z10" i="8"/>
  <c r="Y10" i="23" s="1"/>
  <c r="Y62" i="23" s="1"/>
  <c r="Z9" i="8"/>
  <c r="Y9" i="23" s="1"/>
  <c r="Y61" i="23" s="1"/>
  <c r="Z8" i="8"/>
  <c r="Y8" i="23" s="1"/>
  <c r="Y60" i="23" s="1"/>
  <c r="Z45" i="8"/>
  <c r="Y45" i="23" s="1"/>
  <c r="Y97" i="23" s="1"/>
  <c r="Z23" i="8"/>
  <c r="Y23" i="23" s="1"/>
  <c r="Y75" i="23" s="1"/>
  <c r="Z15" i="8"/>
  <c r="Y15" i="23" s="1"/>
  <c r="Y67" i="23" s="1"/>
  <c r="Z17" i="8"/>
  <c r="Y17" i="23" s="1"/>
  <c r="Y69" i="23" s="1"/>
  <c r="Z37" i="8"/>
  <c r="Y37" i="23" s="1"/>
  <c r="Y89" i="23" s="1"/>
  <c r="Z50" i="8"/>
  <c r="Y50" i="23" s="1"/>
  <c r="Y102" i="23" s="1"/>
  <c r="Z40" i="8"/>
  <c r="Y40" i="23" s="1"/>
  <c r="Y92" i="23" s="1"/>
  <c r="Z7" i="8"/>
  <c r="Y7" i="23" s="1"/>
  <c r="Y59" i="23" s="1"/>
  <c r="Z44" i="8"/>
  <c r="Y44" i="23" s="1"/>
  <c r="Y96" i="23" s="1"/>
  <c r="Z22" i="8"/>
  <c r="Y22" i="23" s="1"/>
  <c r="Y74" i="23" s="1"/>
  <c r="Z21" i="8"/>
  <c r="Y21" i="23" s="1"/>
  <c r="Y73" i="23" s="1"/>
  <c r="Z32" i="8"/>
  <c r="Y32" i="23" s="1"/>
  <c r="Y84" i="23" s="1"/>
  <c r="Z48" i="8"/>
  <c r="Y48" i="23" s="1"/>
  <c r="Y100" i="23" s="1"/>
  <c r="Z42" i="8"/>
  <c r="Y42" i="23" s="1"/>
  <c r="Y94" i="23" s="1"/>
  <c r="Z12" i="8"/>
  <c r="Y12" i="23" s="1"/>
  <c r="Y64" i="23" s="1"/>
  <c r="Z19" i="8"/>
  <c r="Y19" i="23" s="1"/>
  <c r="Y71" i="23" s="1"/>
  <c r="Z41" i="8"/>
  <c r="Y41" i="23" s="1"/>
  <c r="Y93" i="23" s="1"/>
  <c r="Z26" i="8"/>
  <c r="Y26" i="23" s="1"/>
  <c r="Y78" i="23" s="1"/>
  <c r="Z29" i="8"/>
  <c r="Y29" i="23" s="1"/>
  <c r="Y81" i="23" s="1"/>
  <c r="Z27" i="8"/>
  <c r="Y27" i="23" s="1"/>
  <c r="Y79" i="23" s="1"/>
  <c r="Z51" i="8"/>
  <c r="Y51" i="23" s="1"/>
  <c r="Y103" i="23" s="1"/>
  <c r="Z31" i="8"/>
  <c r="Y31" i="23" s="1"/>
  <c r="Y83" i="23" s="1"/>
  <c r="Z11" i="8"/>
  <c r="Y11" i="23" s="1"/>
  <c r="Y63" i="23" s="1"/>
  <c r="Z34" i="8"/>
  <c r="Y34" i="23" s="1"/>
  <c r="Y86" i="23" s="1"/>
  <c r="O6" i="25"/>
  <c r="AH47" i="7"/>
  <c r="AH47" i="9" s="1"/>
  <c r="AH19" i="7"/>
  <c r="AH19" i="9" s="1"/>
  <c r="AH17" i="7"/>
  <c r="AH17" i="9" s="1"/>
  <c r="AH8" i="7"/>
  <c r="AH8" i="9" s="1"/>
  <c r="AH28" i="7"/>
  <c r="AH28" i="9" s="1"/>
  <c r="AH21" i="7"/>
  <c r="AH21" i="9" s="1"/>
  <c r="AH34" i="7"/>
  <c r="AH34" i="9" s="1"/>
  <c r="AH15" i="7"/>
  <c r="AH15" i="9" s="1"/>
  <c r="AH13" i="7"/>
  <c r="AH13" i="9" s="1"/>
  <c r="AH45" i="7"/>
  <c r="AH45" i="9" s="1"/>
  <c r="AH41" i="7"/>
  <c r="AH41" i="9" s="1"/>
  <c r="AH43" i="7"/>
  <c r="AH43" i="9" s="1"/>
  <c r="AH42" i="7"/>
  <c r="AH42" i="9" s="1"/>
  <c r="AH7" i="7"/>
  <c r="AH7" i="9" s="1"/>
  <c r="AH5" i="7"/>
  <c r="AH24" i="7"/>
  <c r="AH24" i="9" s="1"/>
  <c r="AH49" i="7"/>
  <c r="AH49" i="9" s="1"/>
  <c r="AH30" i="7"/>
  <c r="AH30" i="9" s="1"/>
  <c r="AH27" i="7"/>
  <c r="AH27" i="9" s="1"/>
  <c r="AH14" i="7"/>
  <c r="AH14" i="9" s="1"/>
  <c r="AH20" i="7"/>
  <c r="AH20" i="9" s="1"/>
  <c r="AH26" i="7"/>
  <c r="AH26" i="9" s="1"/>
  <c r="AH50" i="7"/>
  <c r="AH50" i="9" s="1"/>
  <c r="AH38" i="7"/>
  <c r="AH38" i="9" s="1"/>
  <c r="AH39" i="7"/>
  <c r="AH39" i="9" s="1"/>
  <c r="AH10" i="7"/>
  <c r="AH10" i="9" s="1"/>
  <c r="AH16" i="7"/>
  <c r="AH16" i="9" s="1"/>
  <c r="AH40" i="7"/>
  <c r="AH40" i="9" s="1"/>
  <c r="AH35" i="7"/>
  <c r="AH35" i="9" s="1"/>
  <c r="AH37" i="7"/>
  <c r="AH37" i="9" s="1"/>
  <c r="AH12" i="7"/>
  <c r="AH12" i="9" s="1"/>
  <c r="AH51" i="7"/>
  <c r="AH51" i="9" s="1"/>
  <c r="AH32" i="7"/>
  <c r="AH32" i="9" s="1"/>
  <c r="AH23" i="7"/>
  <c r="AH23" i="9" s="1"/>
  <c r="AH31" i="7"/>
  <c r="AH31" i="9" s="1"/>
  <c r="AH46" i="7"/>
  <c r="AH46" i="9" s="1"/>
  <c r="AH11" i="7"/>
  <c r="AH11" i="9" s="1"/>
  <c r="AH33" i="7"/>
  <c r="AH33" i="9" s="1"/>
  <c r="AH22" i="7"/>
  <c r="AH22" i="9" s="1"/>
  <c r="AH25" i="7"/>
  <c r="AH25" i="9" s="1"/>
  <c r="AH18" i="7"/>
  <c r="AH18" i="9" s="1"/>
  <c r="AH36" i="7"/>
  <c r="AH36" i="9" s="1"/>
  <c r="AH29" i="7"/>
  <c r="AH29" i="9" s="1"/>
  <c r="AH6" i="7"/>
  <c r="AH6" i="9" s="1"/>
  <c r="AH48" i="7"/>
  <c r="AH48" i="9" s="1"/>
  <c r="AH9" i="7"/>
  <c r="AH9" i="9" s="1"/>
  <c r="AH44" i="7"/>
  <c r="AH44" i="9" s="1"/>
  <c r="O17" i="7"/>
  <c r="O17" i="9" s="1"/>
  <c r="O18" i="7"/>
  <c r="O18" i="9" s="1"/>
  <c r="O23" i="7"/>
  <c r="O23" i="9" s="1"/>
  <c r="O35" i="7"/>
  <c r="O35" i="9" s="1"/>
  <c r="O43" i="7"/>
  <c r="O43" i="9" s="1"/>
  <c r="O38" i="7"/>
  <c r="O38" i="9" s="1"/>
  <c r="O20" i="7"/>
  <c r="O20" i="9" s="1"/>
  <c r="O36" i="7"/>
  <c r="O36" i="9" s="1"/>
  <c r="O8" i="7"/>
  <c r="O8" i="9" s="1"/>
  <c r="O29" i="7"/>
  <c r="O29" i="9" s="1"/>
  <c r="O51" i="7"/>
  <c r="O51" i="9" s="1"/>
  <c r="O46" i="7"/>
  <c r="O46" i="9" s="1"/>
  <c r="O6" i="7"/>
  <c r="O6" i="9" s="1"/>
  <c r="H10" i="25"/>
  <c r="Y47" i="12"/>
  <c r="Y47" i="11"/>
  <c r="Y48" i="10"/>
  <c r="X46" i="7"/>
  <c r="X46" i="9" s="1"/>
  <c r="X41" i="7"/>
  <c r="X41" i="9" s="1"/>
  <c r="X18" i="7"/>
  <c r="X18" i="9" s="1"/>
  <c r="X32" i="7"/>
  <c r="X32" i="9" s="1"/>
  <c r="X8" i="7"/>
  <c r="X8" i="9" s="1"/>
  <c r="X11" i="7"/>
  <c r="X11" i="9" s="1"/>
  <c r="X30" i="7"/>
  <c r="X30" i="9" s="1"/>
  <c r="X36" i="7"/>
  <c r="X36" i="9" s="1"/>
  <c r="X9" i="7"/>
  <c r="X9" i="9" s="1"/>
  <c r="X12" i="7"/>
  <c r="X12" i="9" s="1"/>
  <c r="X7" i="7"/>
  <c r="X7" i="9" s="1"/>
  <c r="X51" i="7"/>
  <c r="X51" i="9" s="1"/>
  <c r="X26" i="7"/>
  <c r="X26" i="9" s="1"/>
  <c r="X35" i="7"/>
  <c r="X35" i="9" s="1"/>
  <c r="X5" i="7"/>
  <c r="X40" i="7"/>
  <c r="X40" i="9" s="1"/>
  <c r="X44" i="7"/>
  <c r="X44" i="9" s="1"/>
  <c r="X39" i="7"/>
  <c r="X39" i="9" s="1"/>
  <c r="X47" i="7"/>
  <c r="X49" i="7"/>
  <c r="X49" i="9" s="1"/>
  <c r="X23" i="7"/>
  <c r="X23" i="9" s="1"/>
  <c r="X31" i="7"/>
  <c r="X31" i="9" s="1"/>
  <c r="X43" i="7"/>
  <c r="X43" i="9" s="1"/>
  <c r="X45" i="7"/>
  <c r="X45" i="9" s="1"/>
  <c r="X14" i="7"/>
  <c r="X14" i="9" s="1"/>
  <c r="X22" i="7"/>
  <c r="X22" i="9" s="1"/>
  <c r="X28" i="7"/>
  <c r="X28" i="9" s="1"/>
  <c r="X42" i="7"/>
  <c r="X42" i="9" s="1"/>
  <c r="X33" i="7"/>
  <c r="X33" i="9" s="1"/>
  <c r="X6" i="7"/>
  <c r="X6" i="9" s="1"/>
  <c r="X21" i="7"/>
  <c r="X21" i="9" s="1"/>
  <c r="X24" i="7"/>
  <c r="X24" i="9" s="1"/>
  <c r="X38" i="7"/>
  <c r="X38" i="9" s="1"/>
  <c r="X29" i="7"/>
  <c r="X29" i="9" s="1"/>
  <c r="X17" i="7"/>
  <c r="X17" i="9" s="1"/>
  <c r="X20" i="7"/>
  <c r="X19" i="7"/>
  <c r="X19" i="9" s="1"/>
  <c r="X10" i="7"/>
  <c r="X10" i="9" s="1"/>
  <c r="X13" i="7"/>
  <c r="X13" i="9" s="1"/>
  <c r="X48" i="7"/>
  <c r="X48" i="9" s="1"/>
  <c r="X16" i="7"/>
  <c r="X16" i="9" s="1"/>
  <c r="X25" i="7"/>
  <c r="X25" i="9" s="1"/>
  <c r="X50" i="7"/>
  <c r="X50" i="9" s="1"/>
  <c r="X27" i="7"/>
  <c r="X27" i="9" s="1"/>
  <c r="X34" i="7"/>
  <c r="X34" i="9" s="1"/>
  <c r="X15" i="7"/>
  <c r="X15" i="9" s="1"/>
  <c r="X37" i="7"/>
  <c r="X37" i="9" s="1"/>
  <c r="R22" i="7"/>
  <c r="R22" i="9" s="1"/>
  <c r="R12" i="7"/>
  <c r="R12" i="9" s="1"/>
  <c r="R14" i="7"/>
  <c r="R14" i="9" s="1"/>
  <c r="R5" i="7"/>
  <c r="R33" i="7"/>
  <c r="R33" i="9" s="1"/>
  <c r="R44" i="7"/>
  <c r="R44" i="9" s="1"/>
  <c r="R24" i="7"/>
  <c r="R24" i="9" s="1"/>
  <c r="R15" i="7"/>
  <c r="R15" i="9" s="1"/>
  <c r="R17" i="7"/>
  <c r="R17" i="9" s="1"/>
  <c r="R45" i="7"/>
  <c r="R45" i="9" s="1"/>
  <c r="R49" i="7"/>
  <c r="R49" i="9" s="1"/>
  <c r="R27" i="7"/>
  <c r="R27" i="9" s="1"/>
  <c r="R11" i="7"/>
  <c r="R11" i="9" s="1"/>
  <c r="R9" i="7"/>
  <c r="R9" i="9" s="1"/>
  <c r="R40" i="7"/>
  <c r="R40" i="9" s="1"/>
  <c r="R30" i="7"/>
  <c r="R30" i="9" s="1"/>
  <c r="R21" i="7"/>
  <c r="R21" i="9" s="1"/>
  <c r="R7" i="7"/>
  <c r="R7" i="9" s="1"/>
  <c r="R51" i="7"/>
  <c r="R51" i="9" s="1"/>
  <c r="R37" i="7"/>
  <c r="R37" i="9" s="1"/>
  <c r="R31" i="7"/>
  <c r="R31" i="9" s="1"/>
  <c r="R20" i="7"/>
  <c r="R20" i="9" s="1"/>
  <c r="R18" i="7"/>
  <c r="R18" i="9" s="1"/>
  <c r="R46" i="7"/>
  <c r="R46" i="9" s="1"/>
  <c r="R35" i="7"/>
  <c r="R35" i="9" s="1"/>
  <c r="R38" i="7"/>
  <c r="R38" i="9" s="1"/>
  <c r="R16" i="7"/>
  <c r="R16" i="9" s="1"/>
  <c r="R10" i="7"/>
  <c r="R10" i="9" s="1"/>
  <c r="R47" i="7"/>
  <c r="R47" i="9" s="1"/>
  <c r="R48" i="7"/>
  <c r="R48" i="9" s="1"/>
  <c r="R50" i="7"/>
  <c r="R50" i="9" s="1"/>
  <c r="R26" i="7"/>
  <c r="R26" i="9" s="1"/>
  <c r="R8" i="7"/>
  <c r="R8" i="9" s="1"/>
  <c r="R6" i="7"/>
  <c r="R6" i="9" s="1"/>
  <c r="R34" i="7"/>
  <c r="R34" i="9" s="1"/>
  <c r="R41" i="7"/>
  <c r="R41" i="9" s="1"/>
  <c r="R39" i="7"/>
  <c r="R39" i="9" s="1"/>
  <c r="R29" i="7"/>
  <c r="R29" i="9" s="1"/>
  <c r="R23" i="7"/>
  <c r="R23" i="9" s="1"/>
  <c r="R25" i="7"/>
  <c r="R25" i="9" s="1"/>
  <c r="R42" i="7"/>
  <c r="R42" i="9" s="1"/>
  <c r="R43" i="7"/>
  <c r="R43" i="9" s="1"/>
  <c r="R19" i="7"/>
  <c r="R19" i="9" s="1"/>
  <c r="R13" i="7"/>
  <c r="R13" i="9" s="1"/>
  <c r="R32" i="7"/>
  <c r="R32" i="9" s="1"/>
  <c r="R36" i="7"/>
  <c r="R36" i="9" s="1"/>
  <c r="R28" i="7"/>
  <c r="R28" i="9" s="1"/>
  <c r="AI15" i="7"/>
  <c r="AI17" i="7"/>
  <c r="AI16" i="7"/>
  <c r="AI24" i="7"/>
  <c r="AI22" i="7"/>
  <c r="AI27" i="7"/>
  <c r="AI7" i="7"/>
  <c r="AI26" i="7"/>
  <c r="AI14" i="7"/>
  <c r="AI35" i="7"/>
  <c r="AI37" i="7"/>
  <c r="AI31" i="7"/>
  <c r="AI41" i="7"/>
  <c r="AI42" i="7"/>
  <c r="AI28" i="7"/>
  <c r="AI6" i="7"/>
  <c r="AI47" i="7"/>
  <c r="AI19" i="7"/>
  <c r="AI34" i="7"/>
  <c r="AI23" i="7"/>
  <c r="AI44" i="7"/>
  <c r="AI30" i="7"/>
  <c r="AI8" i="7"/>
  <c r="AI11" i="7"/>
  <c r="AI39" i="7"/>
  <c r="AI45" i="7"/>
  <c r="AI10" i="7"/>
  <c r="AI32" i="7"/>
  <c r="AI9" i="7"/>
  <c r="AI36" i="7"/>
  <c r="AI38" i="7"/>
  <c r="AI21" i="7"/>
  <c r="AI43" i="7"/>
  <c r="AI29" i="7"/>
  <c r="AI51" i="7"/>
  <c r="AI12" i="7"/>
  <c r="AI33" i="7"/>
  <c r="AI18" i="7"/>
  <c r="AI48" i="7"/>
  <c r="AI46" i="7"/>
  <c r="AI25" i="7"/>
  <c r="AI49" i="7"/>
  <c r="AI40" i="7"/>
  <c r="AI13" i="7"/>
  <c r="AI5" i="7"/>
  <c r="AI50" i="7"/>
  <c r="AI20" i="7"/>
  <c r="S47" i="11"/>
  <c r="S47" i="12"/>
  <c r="O47" i="12"/>
  <c r="O47" i="11"/>
  <c r="O8" i="25"/>
  <c r="Q33" i="7"/>
  <c r="Q33" i="9" s="1"/>
  <c r="Q5" i="7"/>
  <c r="Q14" i="7"/>
  <c r="Q14" i="9" s="1"/>
  <c r="Q43" i="7"/>
  <c r="Q43" i="9" s="1"/>
  <c r="Q36" i="7"/>
  <c r="Q36" i="9" s="1"/>
  <c r="Q40" i="7"/>
  <c r="Q40" i="9" s="1"/>
  <c r="Q9" i="7"/>
  <c r="Q9" i="9" s="1"/>
  <c r="Q10" i="7"/>
  <c r="Q10" i="9" s="1"/>
  <c r="Q35" i="7"/>
  <c r="Q35" i="9" s="1"/>
  <c r="Q11" i="7"/>
  <c r="Q11" i="9" s="1"/>
  <c r="Q45" i="7"/>
  <c r="Q45" i="9" s="1"/>
  <c r="Q27" i="7"/>
  <c r="Q27" i="9" s="1"/>
  <c r="Q6" i="7"/>
  <c r="Q6" i="9" s="1"/>
  <c r="Q17" i="7"/>
  <c r="Q17" i="9" s="1"/>
  <c r="Q32" i="7"/>
  <c r="Q32" i="9" s="1"/>
  <c r="Q48" i="7"/>
  <c r="Q48" i="9" s="1"/>
  <c r="Q29" i="7"/>
  <c r="Q29" i="9" s="1"/>
  <c r="Q16" i="7"/>
  <c r="Q16" i="9" s="1"/>
  <c r="Q30" i="7"/>
  <c r="Q30" i="9" s="1"/>
  <c r="Q20" i="7"/>
  <c r="Q20" i="9" s="1"/>
  <c r="Q19" i="7"/>
  <c r="Q19" i="9" s="1"/>
  <c r="Q7" i="7"/>
  <c r="Q7" i="9" s="1"/>
  <c r="Q24" i="7"/>
  <c r="Q24" i="9" s="1"/>
  <c r="Q26" i="7"/>
  <c r="Q26" i="9" s="1"/>
  <c r="Q18" i="7"/>
  <c r="Q18" i="9" s="1"/>
  <c r="Q50" i="7"/>
  <c r="Q50" i="9" s="1"/>
  <c r="Q37" i="7"/>
  <c r="Q37" i="9" s="1"/>
  <c r="Q22" i="7"/>
  <c r="Q22" i="9" s="1"/>
  <c r="Q23" i="7"/>
  <c r="Q23" i="9" s="1"/>
  <c r="Q46" i="7"/>
  <c r="Q46" i="9" s="1"/>
  <c r="Q12" i="7"/>
  <c r="Q12" i="9" s="1"/>
  <c r="Q51" i="7"/>
  <c r="Q51" i="9" s="1"/>
  <c r="Q28" i="7"/>
  <c r="Q28" i="9" s="1"/>
  <c r="Q42" i="7"/>
  <c r="Q42" i="9" s="1"/>
  <c r="Q13" i="7"/>
  <c r="Q13" i="9" s="1"/>
  <c r="Q49" i="7"/>
  <c r="Q49" i="9" s="1"/>
  <c r="Q21" i="7"/>
  <c r="Q21" i="9" s="1"/>
  <c r="Q44" i="7"/>
  <c r="Q44" i="9" s="1"/>
  <c r="Q8" i="7"/>
  <c r="Q8" i="9" s="1"/>
  <c r="Q25" i="7"/>
  <c r="Q25" i="9" s="1"/>
  <c r="Q15" i="7"/>
  <c r="Q15" i="9" s="1"/>
  <c r="Q31" i="7"/>
  <c r="Q31" i="9" s="1"/>
  <c r="Q34" i="7"/>
  <c r="Q34" i="9" s="1"/>
  <c r="Q39" i="7"/>
  <c r="Q39" i="9" s="1"/>
  <c r="Q41" i="7"/>
  <c r="Q41" i="9" s="1"/>
  <c r="Q38" i="7"/>
  <c r="Q38" i="9" s="1"/>
  <c r="Q47" i="7"/>
  <c r="Q47" i="9" s="1"/>
  <c r="T6" i="25"/>
  <c r="Q6" i="25"/>
  <c r="S48" i="10"/>
  <c r="U47" i="11"/>
  <c r="U47" i="12"/>
  <c r="F8" i="25"/>
  <c r="S6" i="25"/>
  <c r="P25" i="7"/>
  <c r="P25" i="9" s="1"/>
  <c r="P27" i="7"/>
  <c r="P27" i="9" s="1"/>
  <c r="P5" i="7"/>
  <c r="P6" i="7"/>
  <c r="P6" i="9" s="1"/>
  <c r="P30" i="7"/>
  <c r="P30" i="9" s="1"/>
  <c r="P40" i="7"/>
  <c r="P40" i="9" s="1"/>
  <c r="P23" i="7"/>
  <c r="P23" i="9" s="1"/>
  <c r="P12" i="7"/>
  <c r="P32" i="7"/>
  <c r="P32" i="9" s="1"/>
  <c r="P43" i="7"/>
  <c r="P43" i="9" s="1"/>
  <c r="P29" i="7"/>
  <c r="P29" i="9" s="1"/>
  <c r="P8" i="7"/>
  <c r="P8" i="9" s="1"/>
  <c r="P48" i="7"/>
  <c r="P48" i="9" s="1"/>
  <c r="P45" i="7"/>
  <c r="P45" i="9" s="1"/>
  <c r="P24" i="7"/>
  <c r="P24" i="9" s="1"/>
  <c r="P26" i="7"/>
  <c r="P26" i="9" s="1"/>
  <c r="P47" i="7"/>
  <c r="P47" i="9" s="1"/>
  <c r="P51" i="7"/>
  <c r="P51" i="9" s="1"/>
  <c r="P22" i="7"/>
  <c r="P22" i="9" s="1"/>
  <c r="P19" i="7"/>
  <c r="P19" i="9" s="1"/>
  <c r="P41" i="7"/>
  <c r="P41" i="9" s="1"/>
  <c r="P36" i="7"/>
  <c r="P36" i="9" s="1"/>
  <c r="P17" i="7"/>
  <c r="P17" i="9" s="1"/>
  <c r="P15" i="7"/>
  <c r="P15" i="9" s="1"/>
  <c r="P42" i="7"/>
  <c r="P42" i="9" s="1"/>
  <c r="P13" i="7"/>
  <c r="P13" i="9" s="1"/>
  <c r="P18" i="7"/>
  <c r="P18" i="9" s="1"/>
  <c r="P31" i="7"/>
  <c r="P31" i="9" s="1"/>
  <c r="P39" i="7"/>
  <c r="P9" i="7"/>
  <c r="P9" i="9" s="1"/>
  <c r="P14" i="7"/>
  <c r="P14" i="9" s="1"/>
  <c r="P50" i="7"/>
  <c r="P50" i="9" s="1"/>
  <c r="P35" i="7"/>
  <c r="P35" i="9" s="1"/>
  <c r="P46" i="7"/>
  <c r="P46" i="9" s="1"/>
  <c r="P16" i="7"/>
  <c r="P16" i="9" s="1"/>
  <c r="P10" i="7"/>
  <c r="P10" i="9" s="1"/>
  <c r="N10" i="25"/>
  <c r="F6" i="25"/>
  <c r="P6" i="25"/>
  <c r="R10" i="25"/>
  <c r="Q35" i="11"/>
  <c r="Q12" i="11"/>
  <c r="Q31" i="11"/>
  <c r="Q17" i="11"/>
  <c r="Q15" i="11"/>
  <c r="Q20" i="11"/>
  <c r="Q30" i="11"/>
  <c r="Q34" i="11"/>
  <c r="Q10" i="11"/>
  <c r="Q41" i="11"/>
  <c r="Q40" i="11"/>
  <c r="Q39" i="11"/>
  <c r="Q18" i="11"/>
  <c r="Q7" i="11"/>
  <c r="Q11" i="11"/>
  <c r="Q29" i="11"/>
  <c r="Q9" i="11"/>
  <c r="Q37" i="11"/>
  <c r="Q19" i="11"/>
  <c r="Q32" i="11"/>
  <c r="Q36" i="11"/>
  <c r="Q25" i="11"/>
  <c r="Q8" i="11"/>
  <c r="Q16" i="11"/>
  <c r="Q5" i="11"/>
  <c r="Q33" i="11"/>
  <c r="Q6" i="11"/>
  <c r="Q28" i="11"/>
  <c r="Q26" i="11"/>
  <c r="Q21" i="11"/>
  <c r="Q14" i="11"/>
  <c r="Q22" i="11"/>
  <c r="Q27" i="11"/>
  <c r="Q23" i="11"/>
  <c r="Q38" i="11"/>
  <c r="Q24" i="11"/>
  <c r="J6" i="25"/>
  <c r="M8" i="25"/>
  <c r="L10" i="25"/>
  <c r="AA35" i="8"/>
  <c r="Z35" i="23" s="1"/>
  <c r="Z87" i="23" s="1"/>
  <c r="AA43" i="8"/>
  <c r="Z43" i="23" s="1"/>
  <c r="Z95" i="23" s="1"/>
  <c r="AA23" i="8"/>
  <c r="Z23" i="23" s="1"/>
  <c r="Z75" i="23" s="1"/>
  <c r="AA41" i="8"/>
  <c r="Z41" i="23" s="1"/>
  <c r="Z93" i="23" s="1"/>
  <c r="AA51" i="8"/>
  <c r="Z51" i="23" s="1"/>
  <c r="Z103" i="23" s="1"/>
  <c r="AA17" i="8"/>
  <c r="Z17" i="23" s="1"/>
  <c r="Z69" i="23" s="1"/>
  <c r="AA27" i="8"/>
  <c r="Z27" i="23" s="1"/>
  <c r="Z79" i="23" s="1"/>
  <c r="AA37" i="8"/>
  <c r="Z37" i="23" s="1"/>
  <c r="Z89" i="23" s="1"/>
  <c r="AA12" i="8"/>
  <c r="Z12" i="23" s="1"/>
  <c r="Z64" i="23" s="1"/>
  <c r="AA36" i="8"/>
  <c r="Z36" i="23" s="1"/>
  <c r="Z88" i="23" s="1"/>
  <c r="AA47" i="8"/>
  <c r="Z47" i="23" s="1"/>
  <c r="Z99" i="23" s="1"/>
  <c r="AA5" i="8"/>
  <c r="AA15" i="8"/>
  <c r="Z15" i="23" s="1"/>
  <c r="Z67" i="23" s="1"/>
  <c r="AA31" i="8"/>
  <c r="Z31" i="23" s="1"/>
  <c r="Z83" i="23" s="1"/>
  <c r="AA14" i="8"/>
  <c r="Z14" i="23" s="1"/>
  <c r="Z66" i="23" s="1"/>
  <c r="AA50" i="8"/>
  <c r="Z50" i="23" s="1"/>
  <c r="Z102" i="23" s="1"/>
  <c r="AA24" i="8"/>
  <c r="Z24" i="23" s="1"/>
  <c r="Z76" i="23" s="1"/>
  <c r="AA28" i="8"/>
  <c r="Z28" i="23" s="1"/>
  <c r="Z80" i="23" s="1"/>
  <c r="AA40" i="8"/>
  <c r="Z40" i="23" s="1"/>
  <c r="Z92" i="23" s="1"/>
  <c r="AA19" i="8"/>
  <c r="Z19" i="23" s="1"/>
  <c r="Z71" i="23" s="1"/>
  <c r="AA44" i="8"/>
  <c r="Z44" i="23" s="1"/>
  <c r="Z96" i="23" s="1"/>
  <c r="AA6" i="8"/>
  <c r="Z6" i="23" s="1"/>
  <c r="Z58" i="23" s="1"/>
  <c r="AA16" i="8"/>
  <c r="Z16" i="23" s="1"/>
  <c r="Z68" i="23" s="1"/>
  <c r="AA26" i="8"/>
  <c r="Z26" i="23" s="1"/>
  <c r="Z78" i="23" s="1"/>
  <c r="AA7" i="8"/>
  <c r="Z7" i="23" s="1"/>
  <c r="Z59" i="23" s="1"/>
  <c r="AA38" i="8"/>
  <c r="Z38" i="23" s="1"/>
  <c r="Z90" i="23" s="1"/>
  <c r="AA48" i="8"/>
  <c r="Z48" i="23" s="1"/>
  <c r="Z100" i="23" s="1"/>
  <c r="AA10" i="8"/>
  <c r="Z10" i="23" s="1"/>
  <c r="Z62" i="23" s="1"/>
  <c r="AA21" i="8"/>
  <c r="Z21" i="23" s="1"/>
  <c r="Z73" i="23" s="1"/>
  <c r="AA20" i="8"/>
  <c r="Z20" i="23" s="1"/>
  <c r="Z72" i="23" s="1"/>
  <c r="AA11" i="8"/>
  <c r="Z11" i="23" s="1"/>
  <c r="Z63" i="23" s="1"/>
  <c r="AA25" i="8"/>
  <c r="Z25" i="23" s="1"/>
  <c r="Z77" i="23" s="1"/>
  <c r="AA30" i="8"/>
  <c r="Z30" i="23" s="1"/>
  <c r="Z82" i="23" s="1"/>
  <c r="AA13" i="8"/>
  <c r="Z13" i="23" s="1"/>
  <c r="Z65" i="23" s="1"/>
  <c r="AA42" i="8"/>
  <c r="Z42" i="23" s="1"/>
  <c r="Z94" i="23" s="1"/>
  <c r="AA18" i="8"/>
  <c r="Z18" i="23" s="1"/>
  <c r="Z70" i="23" s="1"/>
  <c r="AA46" i="8"/>
  <c r="Z46" i="23" s="1"/>
  <c r="Z98" i="23" s="1"/>
  <c r="AA22" i="8"/>
  <c r="Z22" i="23" s="1"/>
  <c r="Z74" i="23" s="1"/>
  <c r="AA8" i="8"/>
  <c r="Z8" i="23" s="1"/>
  <c r="Z60" i="23" s="1"/>
  <c r="AA45" i="8"/>
  <c r="Z45" i="23" s="1"/>
  <c r="Z97" i="23" s="1"/>
  <c r="AA39" i="8"/>
  <c r="Z39" i="23" s="1"/>
  <c r="Z91" i="23" s="1"/>
  <c r="AA32" i="8"/>
  <c r="Z32" i="23" s="1"/>
  <c r="Z84" i="23" s="1"/>
  <c r="AA29" i="8"/>
  <c r="Z29" i="23" s="1"/>
  <c r="Z81" i="23" s="1"/>
  <c r="AA49" i="8"/>
  <c r="Z49" i="23" s="1"/>
  <c r="Z101" i="23" s="1"/>
  <c r="AA9" i="8"/>
  <c r="Z9" i="23" s="1"/>
  <c r="Z61" i="23" s="1"/>
  <c r="AA33" i="8"/>
  <c r="Z33" i="23" s="1"/>
  <c r="Z85" i="23" s="1"/>
  <c r="AA34" i="8"/>
  <c r="Z34" i="23" s="1"/>
  <c r="Z86" i="23" s="1"/>
  <c r="M55" i="6"/>
  <c r="M60" i="6" s="1"/>
  <c r="S11" i="7"/>
  <c r="S13" i="7"/>
  <c r="S24" i="7"/>
  <c r="S41" i="7"/>
  <c r="S45" i="7"/>
  <c r="S8" i="7"/>
  <c r="S25" i="7"/>
  <c r="S50" i="7"/>
  <c r="S31" i="7"/>
  <c r="S29" i="7"/>
  <c r="S19" i="7"/>
  <c r="S17" i="7"/>
  <c r="S43" i="7"/>
  <c r="S40" i="7"/>
  <c r="S34" i="7"/>
  <c r="S42" i="7"/>
  <c r="S15" i="7"/>
  <c r="S9" i="7"/>
  <c r="S44" i="7"/>
  <c r="S28" i="7"/>
  <c r="S35" i="7"/>
  <c r="S7" i="7"/>
  <c r="S5" i="7"/>
  <c r="S46" i="7"/>
  <c r="S22" i="7"/>
  <c r="S51" i="7"/>
  <c r="S18" i="7"/>
  <c r="S21" i="7"/>
  <c r="S23" i="7"/>
  <c r="S39" i="7"/>
  <c r="S49" i="7"/>
  <c r="S20" i="7"/>
  <c r="S14" i="7"/>
  <c r="S37" i="7"/>
  <c r="S33" i="7"/>
  <c r="S48" i="7"/>
  <c r="S16" i="7"/>
  <c r="S10" i="7"/>
  <c r="S30" i="7"/>
  <c r="S47" i="7"/>
  <c r="S36" i="7"/>
  <c r="S12" i="7"/>
  <c r="S6" i="7"/>
  <c r="S38" i="7"/>
  <c r="S27" i="7"/>
  <c r="S32" i="7"/>
  <c r="S26" i="7"/>
  <c r="Q8" i="25"/>
  <c r="H6" i="25"/>
  <c r="Y56" i="6"/>
  <c r="V56" i="6"/>
  <c r="V60" i="6"/>
  <c r="U49" i="7"/>
  <c r="U49" i="9" s="1"/>
  <c r="U48" i="7"/>
  <c r="U43" i="7"/>
  <c r="U24" i="7"/>
  <c r="U24" i="9" s="1"/>
  <c r="U18" i="7"/>
  <c r="U18" i="9" s="1"/>
  <c r="U9" i="7"/>
  <c r="U9" i="9" s="1"/>
  <c r="U25" i="7"/>
  <c r="U47" i="7"/>
  <c r="U47" i="9" s="1"/>
  <c r="U26" i="7"/>
  <c r="U10" i="7"/>
  <c r="U16" i="7"/>
  <c r="U16" i="9" s="1"/>
  <c r="U21" i="7"/>
  <c r="U21" i="9" s="1"/>
  <c r="U39" i="7"/>
  <c r="U39" i="9" s="1"/>
  <c r="U19" i="7"/>
  <c r="U6" i="7"/>
  <c r="U6" i="9" s="1"/>
  <c r="U12" i="7"/>
  <c r="U44" i="7"/>
  <c r="U35" i="7"/>
  <c r="U15" i="7"/>
  <c r="U15" i="9" s="1"/>
  <c r="U50" i="7"/>
  <c r="U50" i="9" s="1"/>
  <c r="U20" i="7"/>
  <c r="U20" i="9" s="1"/>
  <c r="U45" i="7"/>
  <c r="U40" i="7"/>
  <c r="U40" i="9" s="1"/>
  <c r="U31" i="7"/>
  <c r="U31" i="9" s="1"/>
  <c r="U11" i="7"/>
  <c r="U11" i="9" s="1"/>
  <c r="U38" i="7"/>
  <c r="U38" i="9" s="1"/>
  <c r="U8" i="7"/>
  <c r="U8" i="9" s="1"/>
  <c r="U37" i="7"/>
  <c r="U37" i="9" s="1"/>
  <c r="U32" i="7"/>
  <c r="U32" i="9" s="1"/>
  <c r="U23" i="7"/>
  <c r="U23" i="9" s="1"/>
  <c r="U42" i="7"/>
  <c r="U42" i="9" s="1"/>
  <c r="U13" i="7"/>
  <c r="U33" i="7"/>
  <c r="U33" i="9" s="1"/>
  <c r="U28" i="7"/>
  <c r="U28" i="9" s="1"/>
  <c r="U46" i="7"/>
  <c r="U46" i="9" s="1"/>
  <c r="U30" i="7"/>
  <c r="U5" i="7"/>
  <c r="U51" i="7"/>
  <c r="U51" i="9" s="1"/>
  <c r="U27" i="7"/>
  <c r="U27" i="9" s="1"/>
  <c r="U34" i="7"/>
  <c r="U7" i="7"/>
  <c r="U7" i="9" s="1"/>
  <c r="U14" i="7"/>
  <c r="U36" i="7"/>
  <c r="U36" i="9" s="1"/>
  <c r="U41" i="7"/>
  <c r="U41" i="9" s="1"/>
  <c r="U17" i="7"/>
  <c r="U17" i="9" s="1"/>
  <c r="U29" i="7"/>
  <c r="U29" i="9" s="1"/>
  <c r="U22" i="7"/>
  <c r="U22" i="9" s="1"/>
  <c r="L28" i="7"/>
  <c r="L28" i="9" s="1"/>
  <c r="L5" i="7"/>
  <c r="L7" i="7"/>
  <c r="L7" i="9" s="1"/>
  <c r="L38" i="7"/>
  <c r="L38" i="9" s="1"/>
  <c r="L43" i="7"/>
  <c r="L43" i="9" s="1"/>
  <c r="L31" i="7"/>
  <c r="L31" i="9" s="1"/>
  <c r="L10" i="7"/>
  <c r="L10" i="9" s="1"/>
  <c r="L8" i="7"/>
  <c r="L8" i="9" s="1"/>
  <c r="L36" i="7"/>
  <c r="L36" i="9" s="1"/>
  <c r="L35" i="7"/>
  <c r="L35" i="9" s="1"/>
  <c r="L45" i="7"/>
  <c r="L45" i="9" s="1"/>
  <c r="L6" i="7"/>
  <c r="L6" i="9" s="1"/>
  <c r="L32" i="7"/>
  <c r="L32" i="9" s="1"/>
  <c r="L30" i="7"/>
  <c r="L30" i="9" s="1"/>
  <c r="L25" i="7"/>
  <c r="L25" i="9" s="1"/>
  <c r="L33" i="7"/>
  <c r="L33" i="9" s="1"/>
  <c r="L24" i="7"/>
  <c r="L24" i="9" s="1"/>
  <c r="L42" i="7"/>
  <c r="L42" i="9" s="1"/>
  <c r="L27" i="7"/>
  <c r="L27" i="9" s="1"/>
  <c r="L41" i="7"/>
  <c r="L47" i="7"/>
  <c r="L47" i="9" s="1"/>
  <c r="L40" i="7"/>
  <c r="L40" i="9" s="1"/>
  <c r="L23" i="7"/>
  <c r="L23" i="9" s="1"/>
  <c r="L22" i="7"/>
  <c r="L22" i="9" s="1"/>
  <c r="L20" i="7"/>
  <c r="L20" i="9" s="1"/>
  <c r="L44" i="7"/>
  <c r="L44" i="9" s="1"/>
  <c r="L17" i="7"/>
  <c r="L17" i="9" s="1"/>
  <c r="L29" i="7"/>
  <c r="L29" i="9" s="1"/>
  <c r="L9" i="7"/>
  <c r="L9" i="9" s="1"/>
  <c r="L39" i="7"/>
  <c r="L39" i="9" s="1"/>
  <c r="L19" i="7"/>
  <c r="L19" i="9" s="1"/>
  <c r="L51" i="7"/>
  <c r="L51" i="9" s="1"/>
  <c r="L15" i="7"/>
  <c r="L15" i="9" s="1"/>
  <c r="L21" i="7"/>
  <c r="L21" i="9" s="1"/>
  <c r="L48" i="7"/>
  <c r="L48" i="9" s="1"/>
  <c r="L46" i="7"/>
  <c r="L46" i="9" s="1"/>
  <c r="L11" i="7"/>
  <c r="L11" i="9" s="1"/>
  <c r="L13" i="7"/>
  <c r="L13" i="9" s="1"/>
  <c r="L16" i="7"/>
  <c r="L16" i="9" s="1"/>
  <c r="L37" i="7"/>
  <c r="L37" i="9" s="1"/>
  <c r="L49" i="7"/>
  <c r="L49" i="9" s="1"/>
  <c r="L12" i="7"/>
  <c r="L12" i="9" s="1"/>
  <c r="L18" i="7"/>
  <c r="L18" i="9" s="1"/>
  <c r="L34" i="7"/>
  <c r="L34" i="9" s="1"/>
  <c r="L26" i="7"/>
  <c r="L26" i="9" s="1"/>
  <c r="L50" i="7"/>
  <c r="L50" i="9" s="1"/>
  <c r="L14" i="7"/>
  <c r="L14" i="9" s="1"/>
  <c r="D10" i="25"/>
  <c r="D6" i="25"/>
  <c r="D8" i="25"/>
  <c r="V6" i="25"/>
  <c r="N47" i="11"/>
  <c r="N47" i="12"/>
  <c r="P10" i="25"/>
  <c r="W28" i="7"/>
  <c r="W28" i="9" s="1"/>
  <c r="W50" i="7"/>
  <c r="W50" i="9" s="1"/>
  <c r="W23" i="7"/>
  <c r="W23" i="9" s="1"/>
  <c r="W13" i="7"/>
  <c r="W13" i="9" s="1"/>
  <c r="W16" i="7"/>
  <c r="W16" i="9" s="1"/>
  <c r="W7" i="7"/>
  <c r="W7" i="9" s="1"/>
  <c r="W32" i="7"/>
  <c r="W32" i="9" s="1"/>
  <c r="W46" i="7"/>
  <c r="W46" i="9" s="1"/>
  <c r="W14" i="7"/>
  <c r="W14" i="9" s="1"/>
  <c r="W49" i="7"/>
  <c r="W49" i="9" s="1"/>
  <c r="W45" i="7"/>
  <c r="W45" i="9" s="1"/>
  <c r="W24" i="7"/>
  <c r="W24" i="9" s="1"/>
  <c r="W42" i="7"/>
  <c r="W42" i="9" s="1"/>
  <c r="W10" i="7"/>
  <c r="W10" i="9" s="1"/>
  <c r="W29" i="7"/>
  <c r="W29" i="9" s="1"/>
  <c r="W11" i="7"/>
  <c r="W11" i="9" s="1"/>
  <c r="W51" i="7"/>
  <c r="W51" i="9" s="1"/>
  <c r="W38" i="7"/>
  <c r="W38" i="9" s="1"/>
  <c r="W6" i="7"/>
  <c r="W6" i="9" s="1"/>
  <c r="W22" i="7"/>
  <c r="W22" i="9" s="1"/>
  <c r="W27" i="7"/>
  <c r="W27" i="9" s="1"/>
  <c r="W47" i="7"/>
  <c r="W47" i="9" s="1"/>
  <c r="W34" i="7"/>
  <c r="W34" i="9" s="1"/>
  <c r="W41" i="7"/>
  <c r="W41" i="9" s="1"/>
  <c r="W21" i="7"/>
  <c r="W21" i="9" s="1"/>
  <c r="W19" i="7"/>
  <c r="W19" i="9" s="1"/>
  <c r="W48" i="7"/>
  <c r="W48" i="9" s="1"/>
  <c r="W43" i="7"/>
  <c r="W43" i="9" s="1"/>
  <c r="W30" i="7"/>
  <c r="W30" i="9" s="1"/>
  <c r="W25" i="7"/>
  <c r="W25" i="9" s="1"/>
  <c r="W20" i="7"/>
  <c r="W20" i="9" s="1"/>
  <c r="W15" i="7"/>
  <c r="W15" i="9" s="1"/>
  <c r="W44" i="7"/>
  <c r="W44" i="9" s="1"/>
  <c r="W39" i="7"/>
  <c r="W39" i="9" s="1"/>
  <c r="W26" i="7"/>
  <c r="W26" i="9" s="1"/>
  <c r="W17" i="7"/>
  <c r="W17" i="9" s="1"/>
  <c r="W12" i="7"/>
  <c r="W12" i="9" s="1"/>
  <c r="W40" i="7"/>
  <c r="W40" i="9" s="1"/>
  <c r="W35" i="7"/>
  <c r="W35" i="9" s="1"/>
  <c r="W33" i="7"/>
  <c r="W33" i="9" s="1"/>
  <c r="W9" i="7"/>
  <c r="W9" i="9" s="1"/>
  <c r="W8" i="7"/>
  <c r="W8" i="9" s="1"/>
  <c r="W5" i="7"/>
  <c r="W37" i="7"/>
  <c r="W37" i="9" s="1"/>
  <c r="W18" i="7"/>
  <c r="W18" i="9" s="1"/>
  <c r="W36" i="7"/>
  <c r="W36" i="9" s="1"/>
  <c r="W31" i="7"/>
  <c r="W31" i="9" s="1"/>
  <c r="O16" i="9"/>
  <c r="L47" i="10"/>
  <c r="L48" i="10" s="1"/>
  <c r="R13" i="12"/>
  <c r="P13" i="24"/>
  <c r="P55" i="24" s="1"/>
  <c r="T37" i="12"/>
  <c r="T37" i="13"/>
  <c r="T35" i="12"/>
  <c r="T35" i="13"/>
  <c r="T26" i="12"/>
  <c r="R26" i="24" s="1"/>
  <c r="R68" i="24" s="1"/>
  <c r="T26" i="13"/>
  <c r="T29" i="12"/>
  <c r="T29" i="13"/>
  <c r="T9" i="12"/>
  <c r="T9" i="13"/>
  <c r="M35" i="12"/>
  <c r="M35" i="13"/>
  <c r="M41" i="12"/>
  <c r="M41" i="24" s="1"/>
  <c r="M83" i="24" s="1"/>
  <c r="M41" i="13"/>
  <c r="M25" i="12"/>
  <c r="M25" i="13"/>
  <c r="M16" i="12"/>
  <c r="M16" i="13"/>
  <c r="M9" i="12"/>
  <c r="M9" i="13"/>
  <c r="F34" i="5"/>
  <c r="L46" i="13"/>
  <c r="L46" i="10"/>
  <c r="L46" i="12"/>
  <c r="L46" i="11"/>
  <c r="U11" i="12"/>
  <c r="U11" i="13"/>
  <c r="N18" i="12"/>
  <c r="N18" i="13"/>
  <c r="U24" i="12"/>
  <c r="U24" i="13"/>
  <c r="U30" i="12"/>
  <c r="U30" i="13"/>
  <c r="U41" i="12"/>
  <c r="S41" i="24" s="1"/>
  <c r="S83" i="24" s="1"/>
  <c r="U41" i="13"/>
  <c r="U19" i="12"/>
  <c r="U19" i="13"/>
  <c r="U15" i="12"/>
  <c r="U15" i="13"/>
  <c r="N23" i="12"/>
  <c r="N23" i="13"/>
  <c r="N16" i="12"/>
  <c r="N16" i="24" s="1"/>
  <c r="N58" i="24" s="1"/>
  <c r="N16" i="13"/>
  <c r="N28" i="12"/>
  <c r="N28" i="13"/>
  <c r="N30" i="12"/>
  <c r="N30" i="13"/>
  <c r="N15" i="12"/>
  <c r="N15" i="13"/>
  <c r="T21" i="12"/>
  <c r="T21" i="13"/>
  <c r="T34" i="12"/>
  <c r="T34" i="13"/>
  <c r="T30" i="12"/>
  <c r="R30" i="24" s="1"/>
  <c r="R72" i="24" s="1"/>
  <c r="T30" i="13"/>
  <c r="T20" i="12"/>
  <c r="T20" i="13"/>
  <c r="T7" i="12"/>
  <c r="T7" i="13"/>
  <c r="M34" i="12"/>
  <c r="M34" i="13"/>
  <c r="M30" i="12"/>
  <c r="M30" i="24" s="1"/>
  <c r="M72" i="24" s="1"/>
  <c r="M30" i="13"/>
  <c r="M31" i="12"/>
  <c r="M31" i="13"/>
  <c r="M23" i="12"/>
  <c r="M23" i="13"/>
  <c r="T12" i="12"/>
  <c r="T12" i="13"/>
  <c r="T25" i="12"/>
  <c r="R25" i="24" s="1"/>
  <c r="R67" i="24" s="1"/>
  <c r="T25" i="13"/>
  <c r="T27" i="12"/>
  <c r="T27" i="13"/>
  <c r="T16" i="12"/>
  <c r="T16" i="13"/>
  <c r="T10" i="12"/>
  <c r="T10" i="13"/>
  <c r="M32" i="12"/>
  <c r="M32" i="13"/>
  <c r="M29" i="12"/>
  <c r="M29" i="13"/>
  <c r="M13" i="12"/>
  <c r="M13" i="13"/>
  <c r="M7" i="12"/>
  <c r="M7" i="13"/>
  <c r="U33" i="12"/>
  <c r="U33" i="13"/>
  <c r="N27" i="12"/>
  <c r="N27" i="13"/>
  <c r="N6" i="12"/>
  <c r="N6" i="24" s="1"/>
  <c r="N48" i="24" s="1"/>
  <c r="N6" i="13"/>
  <c r="U35" i="12"/>
  <c r="U35" i="13"/>
  <c r="U36" i="12"/>
  <c r="U36" i="13"/>
  <c r="U38" i="12"/>
  <c r="U38" i="13"/>
  <c r="U21" i="12"/>
  <c r="S21" i="24" s="1"/>
  <c r="S63" i="24" s="1"/>
  <c r="U21" i="13"/>
  <c r="U7" i="12"/>
  <c r="U7" i="13"/>
  <c r="N14" i="12"/>
  <c r="N14" i="13"/>
  <c r="N19" i="12"/>
  <c r="N19" i="24" s="1"/>
  <c r="N61" i="24" s="1"/>
  <c r="N19" i="13"/>
  <c r="N20" i="12"/>
  <c r="N20" i="13"/>
  <c r="N31" i="12"/>
  <c r="N31" i="13"/>
  <c r="T36" i="12"/>
  <c r="T36" i="13"/>
  <c r="T18" i="12"/>
  <c r="R18" i="24" s="1"/>
  <c r="R60" i="24" s="1"/>
  <c r="T18" i="13"/>
  <c r="T31" i="12"/>
  <c r="R31" i="24" s="1"/>
  <c r="R73" i="24" s="1"/>
  <c r="T31" i="13"/>
  <c r="T8" i="12"/>
  <c r="T8" i="13"/>
  <c r="M27" i="12"/>
  <c r="M27" i="13"/>
  <c r="M36" i="12"/>
  <c r="M36" i="13"/>
  <c r="M12" i="12"/>
  <c r="M12" i="13"/>
  <c r="M5" i="12"/>
  <c r="M5" i="13"/>
  <c r="M43" i="11"/>
  <c r="U31" i="12"/>
  <c r="U31" i="13"/>
  <c r="N26" i="12"/>
  <c r="N26" i="13"/>
  <c r="U26" i="12"/>
  <c r="U26" i="13"/>
  <c r="U9" i="12"/>
  <c r="U9" i="13"/>
  <c r="N41" i="12"/>
  <c r="N41" i="13"/>
  <c r="N17" i="12"/>
  <c r="N17" i="13"/>
  <c r="N9" i="12"/>
  <c r="N9" i="13"/>
  <c r="E34" i="5"/>
  <c r="L45" i="13"/>
  <c r="L45" i="10"/>
  <c r="L45" i="12"/>
  <c r="L45" i="11"/>
  <c r="U13" i="12"/>
  <c r="U13" i="13"/>
  <c r="U25" i="12"/>
  <c r="U25" i="13"/>
  <c r="U39" i="12"/>
  <c r="U39" i="13"/>
  <c r="U10" i="12"/>
  <c r="U10" i="13"/>
  <c r="O53" i="9"/>
  <c r="N36" i="12"/>
  <c r="N36" i="13"/>
  <c r="N22" i="12"/>
  <c r="N22" i="13"/>
  <c r="N32" i="12"/>
  <c r="N32" i="13"/>
  <c r="N7" i="12"/>
  <c r="N7" i="13"/>
  <c r="T14" i="12"/>
  <c r="T14" i="13"/>
  <c r="T17" i="12"/>
  <c r="T17" i="13"/>
  <c r="T13" i="12"/>
  <c r="T13" i="13"/>
  <c r="T5" i="12"/>
  <c r="T43" i="11"/>
  <c r="T5" i="13"/>
  <c r="M39" i="12"/>
  <c r="M39" i="13"/>
  <c r="M18" i="12"/>
  <c r="M18" i="13"/>
  <c r="M33" i="12"/>
  <c r="M33" i="13"/>
  <c r="M20" i="12"/>
  <c r="M20" i="13"/>
  <c r="M10" i="12"/>
  <c r="M10" i="13"/>
  <c r="U34" i="12"/>
  <c r="U34" i="13"/>
  <c r="N29" i="12"/>
  <c r="N29" i="13"/>
  <c r="U28" i="12"/>
  <c r="U28" i="13"/>
  <c r="U32" i="12"/>
  <c r="U32" i="13"/>
  <c r="U22" i="12"/>
  <c r="U22" i="13"/>
  <c r="N37" i="12"/>
  <c r="N37" i="13"/>
  <c r="N40" i="12"/>
  <c r="N40" i="13"/>
  <c r="N35" i="12"/>
  <c r="N35" i="13"/>
  <c r="N5" i="12"/>
  <c r="N5" i="13"/>
  <c r="N43" i="11"/>
  <c r="T33" i="12"/>
  <c r="R33" i="24" s="1"/>
  <c r="R75" i="24" s="1"/>
  <c r="T33" i="13"/>
  <c r="T40" i="12"/>
  <c r="T40" i="13"/>
  <c r="T19" i="12"/>
  <c r="T19" i="13"/>
  <c r="T32" i="12"/>
  <c r="R32" i="24" s="1"/>
  <c r="R74" i="24" s="1"/>
  <c r="T32" i="13"/>
  <c r="M19" i="12"/>
  <c r="M19" i="24" s="1"/>
  <c r="M61" i="24" s="1"/>
  <c r="M19" i="13"/>
  <c r="M38" i="12"/>
  <c r="M38" i="13"/>
  <c r="M22" i="12"/>
  <c r="M22" i="13"/>
  <c r="M40" i="12"/>
  <c r="M40" i="24" s="1"/>
  <c r="M82" i="24" s="1"/>
  <c r="M40" i="13"/>
  <c r="M8" i="12"/>
  <c r="M8" i="24" s="1"/>
  <c r="M50" i="24" s="1"/>
  <c r="M8" i="13"/>
  <c r="U6" i="12"/>
  <c r="U6" i="13"/>
  <c r="N38" i="12"/>
  <c r="N38" i="13"/>
  <c r="N13" i="12"/>
  <c r="N13" i="24" s="1"/>
  <c r="N55" i="24" s="1"/>
  <c r="N13" i="13"/>
  <c r="T54" i="8"/>
  <c r="T54" i="9"/>
  <c r="T54" i="7"/>
  <c r="U17" i="12"/>
  <c r="U17" i="13"/>
  <c r="U12" i="12"/>
  <c r="S12" i="24" s="1"/>
  <c r="S54" i="24" s="1"/>
  <c r="U12" i="13"/>
  <c r="U14" i="12"/>
  <c r="S14" i="24" s="1"/>
  <c r="S56" i="24" s="1"/>
  <c r="U14" i="13"/>
  <c r="N56" i="9"/>
  <c r="N56" i="8"/>
  <c r="N56" i="7"/>
  <c r="U16" i="12"/>
  <c r="S16" i="24" s="1"/>
  <c r="S58" i="24" s="1"/>
  <c r="U16" i="13"/>
  <c r="U20" i="12"/>
  <c r="S20" i="24" s="1"/>
  <c r="S62" i="24" s="1"/>
  <c r="U20" i="13"/>
  <c r="U18" i="12"/>
  <c r="U18" i="13"/>
  <c r="U5" i="12"/>
  <c r="U43" i="11"/>
  <c r="U5" i="13"/>
  <c r="N12" i="12"/>
  <c r="N12" i="13"/>
  <c r="N11" i="12"/>
  <c r="N11" i="13"/>
  <c r="N21" i="12"/>
  <c r="N21" i="13"/>
  <c r="N24" i="12"/>
  <c r="N24" i="13"/>
  <c r="N10" i="12"/>
  <c r="N10" i="13"/>
  <c r="T38" i="12"/>
  <c r="R38" i="24" s="1"/>
  <c r="R80" i="24" s="1"/>
  <c r="T38" i="13"/>
  <c r="T28" i="12"/>
  <c r="R28" i="24" s="1"/>
  <c r="R70" i="24" s="1"/>
  <c r="T28" i="13"/>
  <c r="T39" i="12"/>
  <c r="T39" i="13"/>
  <c r="T23" i="12"/>
  <c r="R23" i="24" s="1"/>
  <c r="R65" i="24" s="1"/>
  <c r="T23" i="13"/>
  <c r="T6" i="12"/>
  <c r="R6" i="24" s="1"/>
  <c r="R48" i="24" s="1"/>
  <c r="T6" i="13"/>
  <c r="M24" i="12"/>
  <c r="M24" i="24" s="1"/>
  <c r="M66" i="24" s="1"/>
  <c r="M24" i="13"/>
  <c r="M17" i="12"/>
  <c r="M17" i="13"/>
  <c r="M21" i="12"/>
  <c r="M21" i="13"/>
  <c r="M37" i="12"/>
  <c r="M37" i="13"/>
  <c r="M6" i="12"/>
  <c r="M6" i="24" s="1"/>
  <c r="M48" i="24" s="1"/>
  <c r="M6" i="13"/>
  <c r="U29" i="12"/>
  <c r="U29" i="13"/>
  <c r="N55" i="9"/>
  <c r="N55" i="8"/>
  <c r="N55" i="7"/>
  <c r="N54" i="8"/>
  <c r="N58" i="8" s="1"/>
  <c r="N54" i="9"/>
  <c r="N54" i="7"/>
  <c r="U23" i="12"/>
  <c r="U23" i="13"/>
  <c r="U27" i="12"/>
  <c r="U27" i="13"/>
  <c r="U40" i="12"/>
  <c r="U40" i="13"/>
  <c r="U37" i="12"/>
  <c r="S37" i="24" s="1"/>
  <c r="S79" i="24" s="1"/>
  <c r="U37" i="13"/>
  <c r="U8" i="12"/>
  <c r="U8" i="13"/>
  <c r="N25" i="12"/>
  <c r="N25" i="13"/>
  <c r="N34" i="12"/>
  <c r="N34" i="13"/>
  <c r="N33" i="12"/>
  <c r="N33" i="13"/>
  <c r="N39" i="12"/>
  <c r="N39" i="13"/>
  <c r="N8" i="12"/>
  <c r="N8" i="13"/>
  <c r="AA44" i="12"/>
  <c r="AA44" i="13"/>
  <c r="AA44" i="10"/>
  <c r="AA44" i="11"/>
  <c r="T24" i="12"/>
  <c r="T24" i="13"/>
  <c r="T11" i="12"/>
  <c r="T11" i="13"/>
  <c r="T22" i="12"/>
  <c r="T22" i="13"/>
  <c r="T41" i="12"/>
  <c r="T41" i="13"/>
  <c r="T15" i="12"/>
  <c r="T15" i="13"/>
  <c r="M14" i="12"/>
  <c r="M14" i="13"/>
  <c r="M11" i="12"/>
  <c r="M11" i="13"/>
  <c r="M28" i="12"/>
  <c r="M28" i="24" s="1"/>
  <c r="M70" i="24" s="1"/>
  <c r="M28" i="13"/>
  <c r="M26" i="12"/>
  <c r="M26" i="13"/>
  <c r="M15" i="12"/>
  <c r="M15" i="13"/>
  <c r="F10" i="5"/>
  <c r="F46" i="5" s="1"/>
  <c r="N58" i="6"/>
  <c r="E10" i="5"/>
  <c r="N57" i="6"/>
  <c r="D46" i="5"/>
  <c r="D29" i="5"/>
  <c r="X8" i="25" l="1"/>
  <c r="X6" i="25"/>
  <c r="X10" i="25"/>
  <c r="R41" i="24"/>
  <c r="R83" i="24" s="1"/>
  <c r="N33" i="24"/>
  <c r="N75" i="24" s="1"/>
  <c r="R40" i="24"/>
  <c r="R82" i="24" s="1"/>
  <c r="M13" i="24"/>
  <c r="M55" i="24" s="1"/>
  <c r="R27" i="24"/>
  <c r="R69" i="24" s="1"/>
  <c r="W53" i="7"/>
  <c r="W58" i="7" s="1"/>
  <c r="W12" i="8" s="1"/>
  <c r="V12" i="23" s="1"/>
  <c r="V64" i="23" s="1"/>
  <c r="W5" i="9"/>
  <c r="W53" i="9" s="1"/>
  <c r="U34" i="9"/>
  <c r="U13" i="9"/>
  <c r="U12" i="9"/>
  <c r="V43" i="7"/>
  <c r="V42" i="7"/>
  <c r="V11" i="7"/>
  <c r="V41" i="7"/>
  <c r="V29" i="7"/>
  <c r="V24" i="7"/>
  <c r="V31" i="7"/>
  <c r="V30" i="7"/>
  <c r="V33" i="7"/>
  <c r="V17" i="7"/>
  <c r="V21" i="7"/>
  <c r="V48" i="7"/>
  <c r="V27" i="7"/>
  <c r="V26" i="7"/>
  <c r="V18" i="7"/>
  <c r="V13" i="7"/>
  <c r="V20" i="7"/>
  <c r="V51" i="7"/>
  <c r="V50" i="7"/>
  <c r="V19" i="7"/>
  <c r="V10" i="7"/>
  <c r="V5" i="7"/>
  <c r="V12" i="7"/>
  <c r="V47" i="7"/>
  <c r="V46" i="7"/>
  <c r="V15" i="7"/>
  <c r="V6" i="7"/>
  <c r="V49" i="7"/>
  <c r="V8" i="7"/>
  <c r="V44" i="7"/>
  <c r="V36" i="7"/>
  <c r="V37" i="7"/>
  <c r="V39" i="7"/>
  <c r="V14" i="7"/>
  <c r="V28" i="7"/>
  <c r="V35" i="7"/>
  <c r="V32" i="7"/>
  <c r="V23" i="7"/>
  <c r="V25" i="7"/>
  <c r="V38" i="7"/>
  <c r="V9" i="7"/>
  <c r="V34" i="7"/>
  <c r="V22" i="7"/>
  <c r="V45" i="7"/>
  <c r="V40" i="7"/>
  <c r="V7" i="7"/>
  <c r="V16" i="7"/>
  <c r="R24" i="11"/>
  <c r="Q24" i="13"/>
  <c r="R24" i="13" s="1"/>
  <c r="Q24" i="12"/>
  <c r="Q28" i="13"/>
  <c r="R28" i="13" s="1"/>
  <c r="R28" i="11"/>
  <c r="Q28" i="12"/>
  <c r="R32" i="11"/>
  <c r="Q32" i="12"/>
  <c r="Q32" i="13"/>
  <c r="R32" i="13" s="1"/>
  <c r="R39" i="11"/>
  <c r="Q39" i="12"/>
  <c r="Q39" i="13"/>
  <c r="R39" i="13" s="1"/>
  <c r="R17" i="11"/>
  <c r="Q17" i="12"/>
  <c r="Q17" i="13"/>
  <c r="R17" i="13" s="1"/>
  <c r="P39" i="9"/>
  <c r="AI20" i="9"/>
  <c r="AI48" i="9"/>
  <c r="AI38" i="9"/>
  <c r="AI53" i="7"/>
  <c r="AI58" i="7" s="1"/>
  <c r="AI7" i="8" s="1"/>
  <c r="AE7" i="23" s="1"/>
  <c r="AE59" i="23" s="1"/>
  <c r="AI8" i="9"/>
  <c r="AI28" i="9"/>
  <c r="AI7" i="9"/>
  <c r="AC33" i="9"/>
  <c r="AD33" i="9" s="1"/>
  <c r="AD33" i="7"/>
  <c r="AD30" i="7"/>
  <c r="AC30" i="9"/>
  <c r="AD30" i="9" s="1"/>
  <c r="AD46" i="7"/>
  <c r="AC46" i="9"/>
  <c r="AD46" i="9" s="1"/>
  <c r="AD50" i="7"/>
  <c r="AC50" i="9"/>
  <c r="AD50" i="9" s="1"/>
  <c r="AD8" i="7"/>
  <c r="AC8" i="9"/>
  <c r="AD8" i="9" s="1"/>
  <c r="U25" i="9"/>
  <c r="V54" i="7"/>
  <c r="V54" i="8"/>
  <c r="V58" i="8" s="1"/>
  <c r="V54" i="9"/>
  <c r="Z5" i="23"/>
  <c r="Z57" i="23" s="1"/>
  <c r="AA53" i="8"/>
  <c r="Q38" i="13"/>
  <c r="R38" i="13" s="1"/>
  <c r="R38" i="11"/>
  <c r="Q38" i="12"/>
  <c r="R6" i="11"/>
  <c r="Q6" i="12"/>
  <c r="Q6" i="13"/>
  <c r="R6" i="13" s="1"/>
  <c r="Q19" i="13"/>
  <c r="R19" i="13" s="1"/>
  <c r="Q19" i="12"/>
  <c r="R19" i="11"/>
  <c r="R40" i="11"/>
  <c r="Q40" i="12"/>
  <c r="Q40" i="13"/>
  <c r="R40" i="13" s="1"/>
  <c r="Q31" i="12"/>
  <c r="R31" i="11"/>
  <c r="Q31" i="13"/>
  <c r="R31" i="13" s="1"/>
  <c r="S8" i="11"/>
  <c r="S12" i="11"/>
  <c r="S30" i="11"/>
  <c r="S34" i="11"/>
  <c r="S13" i="11"/>
  <c r="S5" i="11"/>
  <c r="S21" i="11"/>
  <c r="S23" i="11"/>
  <c r="S37" i="11"/>
  <c r="S28" i="11"/>
  <c r="S9" i="11"/>
  <c r="S20" i="11"/>
  <c r="S17" i="11"/>
  <c r="S27" i="11"/>
  <c r="S36" i="11"/>
  <c r="S26" i="11"/>
  <c r="S31" i="11"/>
  <c r="S16" i="11"/>
  <c r="S39" i="11"/>
  <c r="S10" i="11"/>
  <c r="S14" i="11"/>
  <c r="S29" i="11"/>
  <c r="S7" i="11"/>
  <c r="S32" i="11"/>
  <c r="S38" i="11"/>
  <c r="S15" i="11"/>
  <c r="S40" i="11"/>
  <c r="S11" i="11"/>
  <c r="S6" i="11"/>
  <c r="S33" i="11"/>
  <c r="S24" i="11"/>
  <c r="S19" i="11"/>
  <c r="S41" i="11"/>
  <c r="S22" i="11"/>
  <c r="S25" i="11"/>
  <c r="S18" i="11"/>
  <c r="S35" i="11"/>
  <c r="Q5" i="9"/>
  <c r="Q53" i="9" s="1"/>
  <c r="Q53" i="7"/>
  <c r="Q58" i="7" s="1"/>
  <c r="AI50" i="9"/>
  <c r="AI50" i="8"/>
  <c r="AE50" i="23" s="1"/>
  <c r="AE102" i="23" s="1"/>
  <c r="AI18" i="9"/>
  <c r="AI36" i="9"/>
  <c r="AI30" i="9"/>
  <c r="AI42" i="9"/>
  <c r="AI42" i="8"/>
  <c r="AE42" i="23" s="1"/>
  <c r="AE94" i="23" s="1"/>
  <c r="AI27" i="9"/>
  <c r="X20" i="9"/>
  <c r="Y5" i="23"/>
  <c r="Y57" i="23" s="1"/>
  <c r="Z53" i="8"/>
  <c r="AD36" i="7"/>
  <c r="AC36" i="9"/>
  <c r="AD36" i="9" s="1"/>
  <c r="AD21" i="7"/>
  <c r="AC21" i="9"/>
  <c r="AD21" i="9" s="1"/>
  <c r="AD14" i="7"/>
  <c r="AC14" i="9"/>
  <c r="AD14" i="9" s="1"/>
  <c r="AD27" i="7"/>
  <c r="AC27" i="9"/>
  <c r="AD27" i="9" s="1"/>
  <c r="AC13" i="9"/>
  <c r="AD13" i="9" s="1"/>
  <c r="AD13" i="7"/>
  <c r="AD39" i="7"/>
  <c r="AC39" i="9"/>
  <c r="AD39" i="9" s="1"/>
  <c r="U45" i="9"/>
  <c r="U19" i="9"/>
  <c r="Y60" i="6"/>
  <c r="Y54" i="8"/>
  <c r="Y58" i="8" s="1"/>
  <c r="Y54" i="9"/>
  <c r="Y54" i="7"/>
  <c r="Q23" i="12"/>
  <c r="R23" i="11"/>
  <c r="Q23" i="13"/>
  <c r="R23" i="13" s="1"/>
  <c r="Q33" i="12"/>
  <c r="R33" i="11"/>
  <c r="Q33" i="13"/>
  <c r="R33" i="13" s="1"/>
  <c r="Q37" i="12"/>
  <c r="R37" i="11"/>
  <c r="Q37" i="13"/>
  <c r="R37" i="13" s="1"/>
  <c r="R41" i="11"/>
  <c r="Q41" i="13"/>
  <c r="R41" i="13" s="1"/>
  <c r="Q41" i="12"/>
  <c r="R12" i="11"/>
  <c r="Q12" i="13"/>
  <c r="R12" i="13" s="1"/>
  <c r="Q12" i="12"/>
  <c r="P53" i="7"/>
  <c r="P58" i="7" s="1"/>
  <c r="P12" i="8" s="1"/>
  <c r="P12" i="23" s="1"/>
  <c r="P64" i="23" s="1"/>
  <c r="P5" i="9"/>
  <c r="AI5" i="9"/>
  <c r="AI5" i="8"/>
  <c r="AI33" i="9"/>
  <c r="AI9" i="9"/>
  <c r="AI9" i="8"/>
  <c r="AE9" i="23" s="1"/>
  <c r="AE61" i="23" s="1"/>
  <c r="AI44" i="9"/>
  <c r="AI44" i="8"/>
  <c r="AI41" i="9"/>
  <c r="AI41" i="8"/>
  <c r="AI22" i="9"/>
  <c r="R53" i="7"/>
  <c r="R5" i="9"/>
  <c r="R53" i="9" s="1"/>
  <c r="X47" i="9"/>
  <c r="O53" i="7"/>
  <c r="O58" i="7" s="1"/>
  <c r="AD19" i="7"/>
  <c r="AC19" i="9"/>
  <c r="AD19" i="9" s="1"/>
  <c r="AC35" i="9"/>
  <c r="AD35" i="9" s="1"/>
  <c r="AD35" i="7"/>
  <c r="AC45" i="9"/>
  <c r="AD45" i="9" s="1"/>
  <c r="AD45" i="7"/>
  <c r="AD43" i="7"/>
  <c r="AC43" i="9"/>
  <c r="AD43" i="9" s="1"/>
  <c r="AC15" i="9"/>
  <c r="AD15" i="9" s="1"/>
  <c r="AD15" i="7"/>
  <c r="AD51" i="7"/>
  <c r="AC51" i="9"/>
  <c r="AD51" i="9" s="1"/>
  <c r="U5" i="9"/>
  <c r="U53" i="7"/>
  <c r="U58" i="7" s="1"/>
  <c r="Q27" i="12"/>
  <c r="R27" i="11"/>
  <c r="Q27" i="13"/>
  <c r="R27" i="13" s="1"/>
  <c r="R5" i="11"/>
  <c r="Q43" i="11"/>
  <c r="Q5" i="13"/>
  <c r="Q5" i="12"/>
  <c r="Q9" i="12"/>
  <c r="R9" i="11"/>
  <c r="Q9" i="13"/>
  <c r="R9" i="13" s="1"/>
  <c r="R10" i="11"/>
  <c r="Q10" i="12"/>
  <c r="Q10" i="13"/>
  <c r="R10" i="13" s="1"/>
  <c r="R35" i="11"/>
  <c r="Q35" i="12"/>
  <c r="Q35" i="13"/>
  <c r="R35" i="13" s="1"/>
  <c r="AI13" i="9"/>
  <c r="AI12" i="9"/>
  <c r="AI12" i="8"/>
  <c r="AE12" i="23"/>
  <c r="AE64" i="23" s="1"/>
  <c r="AI32" i="9"/>
  <c r="AI32" i="8"/>
  <c r="AE32" i="23" s="1"/>
  <c r="AE84" i="23" s="1"/>
  <c r="AI23" i="9"/>
  <c r="AI23" i="8"/>
  <c r="AI31" i="9"/>
  <c r="AI31" i="8"/>
  <c r="AE31" i="23" s="1"/>
  <c r="AE83" i="23" s="1"/>
  <c r="AI24" i="9"/>
  <c r="AI24" i="8"/>
  <c r="AE24" i="23" s="1"/>
  <c r="AE76" i="23" s="1"/>
  <c r="AD47" i="7"/>
  <c r="AC47" i="9"/>
  <c r="AD47" i="9" s="1"/>
  <c r="AD34" i="7"/>
  <c r="AC34" i="9"/>
  <c r="AD34" i="9" s="1"/>
  <c r="AD23" i="7"/>
  <c r="AC23" i="9"/>
  <c r="AD23" i="9" s="1"/>
  <c r="AC53" i="7"/>
  <c r="AC58" i="7" s="1"/>
  <c r="AC30" i="8" s="1"/>
  <c r="AC5" i="9"/>
  <c r="AD5" i="7"/>
  <c r="AD49" i="7"/>
  <c r="AC49" i="9"/>
  <c r="AD49" i="9" s="1"/>
  <c r="AC44" i="9"/>
  <c r="AD44" i="9" s="1"/>
  <c r="AD44" i="7"/>
  <c r="M5" i="24"/>
  <c r="M47" i="24" s="1"/>
  <c r="W16" i="8"/>
  <c r="V16" i="23" s="1"/>
  <c r="V68" i="23" s="1"/>
  <c r="U30" i="9"/>
  <c r="R22" i="11"/>
  <c r="Q22" i="13"/>
  <c r="R22" i="13" s="1"/>
  <c r="Q22" i="12"/>
  <c r="R16" i="11"/>
  <c r="Q16" i="13"/>
  <c r="R16" i="13" s="1"/>
  <c r="Q16" i="12"/>
  <c r="Q29" i="12"/>
  <c r="R29" i="11"/>
  <c r="Q29" i="13"/>
  <c r="R29" i="13" s="1"/>
  <c r="R34" i="11"/>
  <c r="Q34" i="12"/>
  <c r="Q34" i="13"/>
  <c r="R34" i="13" s="1"/>
  <c r="AI40" i="9"/>
  <c r="AI40" i="8"/>
  <c r="AE40" i="23" s="1"/>
  <c r="AE92" i="23" s="1"/>
  <c r="AI51" i="9"/>
  <c r="AI51" i="8"/>
  <c r="AI10" i="9"/>
  <c r="AI10" i="8"/>
  <c r="AI34" i="9"/>
  <c r="AI34" i="8"/>
  <c r="AI37" i="9"/>
  <c r="AI37" i="8"/>
  <c r="AE37" i="23" s="1"/>
  <c r="AE89" i="23" s="1"/>
  <c r="AI16" i="9"/>
  <c r="AI16" i="8"/>
  <c r="AD28" i="7"/>
  <c r="AC28" i="9"/>
  <c r="AD28" i="9" s="1"/>
  <c r="AD32" i="7"/>
  <c r="AC32" i="9"/>
  <c r="AD32" i="9" s="1"/>
  <c r="AD41" i="7"/>
  <c r="AC41" i="9"/>
  <c r="AD41" i="9" s="1"/>
  <c r="AD7" i="7"/>
  <c r="AC7" i="9"/>
  <c r="AD7" i="9" s="1"/>
  <c r="AD31" i="7"/>
  <c r="AC31" i="9"/>
  <c r="AD31" i="9" s="1"/>
  <c r="AC42" i="9"/>
  <c r="AD42" i="9" s="1"/>
  <c r="AD42" i="7"/>
  <c r="L41" i="9"/>
  <c r="U43" i="9"/>
  <c r="M38" i="7"/>
  <c r="M38" i="9" s="1"/>
  <c r="M47" i="7"/>
  <c r="M47" i="9" s="1"/>
  <c r="M31" i="7"/>
  <c r="M31" i="9" s="1"/>
  <c r="M44" i="7"/>
  <c r="M44" i="9" s="1"/>
  <c r="M23" i="7"/>
  <c r="M23" i="9" s="1"/>
  <c r="M39" i="7"/>
  <c r="M39" i="9" s="1"/>
  <c r="M49" i="7"/>
  <c r="M49" i="9" s="1"/>
  <c r="M22" i="7"/>
  <c r="M22" i="9" s="1"/>
  <c r="M32" i="7"/>
  <c r="M32" i="9" s="1"/>
  <c r="M30" i="7"/>
  <c r="M30" i="9" s="1"/>
  <c r="M13" i="7"/>
  <c r="M13" i="9" s="1"/>
  <c r="M27" i="7"/>
  <c r="M27" i="9" s="1"/>
  <c r="M14" i="7"/>
  <c r="M14" i="9" s="1"/>
  <c r="M35" i="7"/>
  <c r="M35" i="9" s="1"/>
  <c r="M15" i="7"/>
  <c r="M15" i="9" s="1"/>
  <c r="M41" i="7"/>
  <c r="M41" i="9" s="1"/>
  <c r="M12" i="7"/>
  <c r="M12" i="9" s="1"/>
  <c r="M34" i="7"/>
  <c r="M34" i="9" s="1"/>
  <c r="M8" i="7"/>
  <c r="M8" i="9" s="1"/>
  <c r="M25" i="7"/>
  <c r="M25" i="9" s="1"/>
  <c r="M29" i="7"/>
  <c r="M29" i="9" s="1"/>
  <c r="M10" i="7"/>
  <c r="M10" i="9" s="1"/>
  <c r="M37" i="7"/>
  <c r="M37" i="9" s="1"/>
  <c r="M50" i="7"/>
  <c r="M50" i="9" s="1"/>
  <c r="M36" i="7"/>
  <c r="M36" i="9" s="1"/>
  <c r="M6" i="7"/>
  <c r="M6" i="9" s="1"/>
  <c r="M26" i="7"/>
  <c r="M26" i="9" s="1"/>
  <c r="M48" i="7"/>
  <c r="M48" i="9" s="1"/>
  <c r="M21" i="7"/>
  <c r="M21" i="9" s="1"/>
  <c r="M17" i="7"/>
  <c r="M17" i="9" s="1"/>
  <c r="M9" i="7"/>
  <c r="M9" i="9" s="1"/>
  <c r="M18" i="7"/>
  <c r="M18" i="9" s="1"/>
  <c r="M33" i="7"/>
  <c r="M33" i="9" s="1"/>
  <c r="M24" i="7"/>
  <c r="M24" i="9" s="1"/>
  <c r="M5" i="7"/>
  <c r="M11" i="7"/>
  <c r="M11" i="9" s="1"/>
  <c r="M42" i="7"/>
  <c r="M42" i="9" s="1"/>
  <c r="M19" i="7"/>
  <c r="M19" i="9" s="1"/>
  <c r="M28" i="7"/>
  <c r="M28" i="9" s="1"/>
  <c r="M43" i="7"/>
  <c r="M43" i="9" s="1"/>
  <c r="M7" i="7"/>
  <c r="M7" i="9" s="1"/>
  <c r="M51" i="7"/>
  <c r="M51" i="9" s="1"/>
  <c r="M16" i="7"/>
  <c r="M16" i="9" s="1"/>
  <c r="M40" i="7"/>
  <c r="M40" i="9" s="1"/>
  <c r="M45" i="7"/>
  <c r="M45" i="9" s="1"/>
  <c r="M20" i="7"/>
  <c r="M20" i="9" s="1"/>
  <c r="M46" i="7"/>
  <c r="M46" i="9" s="1"/>
  <c r="R14" i="11"/>
  <c r="Q14" i="13"/>
  <c r="R14" i="13" s="1"/>
  <c r="Q14" i="12"/>
  <c r="Q8" i="13"/>
  <c r="R8" i="13" s="1"/>
  <c r="R8" i="11"/>
  <c r="Q8" i="12"/>
  <c r="R11" i="11"/>
  <c r="Q11" i="12"/>
  <c r="Q11" i="13"/>
  <c r="R11" i="13" s="1"/>
  <c r="R30" i="11"/>
  <c r="Q30" i="12"/>
  <c r="Q30" i="13"/>
  <c r="R30" i="13" s="1"/>
  <c r="P12" i="9"/>
  <c r="AI49" i="9"/>
  <c r="AI49" i="8"/>
  <c r="AE49" i="23" s="1"/>
  <c r="AE101" i="23" s="1"/>
  <c r="AI29" i="9"/>
  <c r="AI29" i="8"/>
  <c r="AE29" i="23" s="1"/>
  <c r="AE81" i="23" s="1"/>
  <c r="AI45" i="9"/>
  <c r="AI45" i="8"/>
  <c r="AI19" i="9"/>
  <c r="AI19" i="8"/>
  <c r="AE19" i="23" s="1"/>
  <c r="AE71" i="23" s="1"/>
  <c r="AI35" i="9"/>
  <c r="AI35" i="8"/>
  <c r="AE35" i="23" s="1"/>
  <c r="AE87" i="23" s="1"/>
  <c r="AI17" i="9"/>
  <c r="AI17" i="8"/>
  <c r="AE17" i="23" s="1"/>
  <c r="AE69" i="23" s="1"/>
  <c r="Y10" i="11"/>
  <c r="Y25" i="11"/>
  <c r="Y32" i="11"/>
  <c r="Y20" i="11"/>
  <c r="Y31" i="11"/>
  <c r="Y5" i="11"/>
  <c r="Y28" i="11"/>
  <c r="Y38" i="11"/>
  <c r="Y21" i="11"/>
  <c r="Y7" i="11"/>
  <c r="Y34" i="11"/>
  <c r="Y26" i="11"/>
  <c r="Y36" i="11"/>
  <c r="Y16" i="11"/>
  <c r="Y40" i="11"/>
  <c r="Y13" i="11"/>
  <c r="Y22" i="11"/>
  <c r="Y33" i="11"/>
  <c r="Y14" i="11"/>
  <c r="Y11" i="11"/>
  <c r="Y39" i="11"/>
  <c r="Y15" i="11"/>
  <c r="Y9" i="11"/>
  <c r="Y30" i="11"/>
  <c r="Y41" i="11"/>
  <c r="Y27" i="11"/>
  <c r="Y12" i="11"/>
  <c r="Y6" i="11"/>
  <c r="Y19" i="11"/>
  <c r="Y8" i="11"/>
  <c r="Y29" i="11"/>
  <c r="Y24" i="11"/>
  <c r="Y35" i="11"/>
  <c r="Y18" i="11"/>
  <c r="Y17" i="11"/>
  <c r="Y23" i="11"/>
  <c r="Y37" i="11"/>
  <c r="O6" i="11"/>
  <c r="O16" i="11"/>
  <c r="O37" i="11"/>
  <c r="O18" i="11"/>
  <c r="O39" i="11"/>
  <c r="O8" i="11"/>
  <c r="O35" i="11"/>
  <c r="O25" i="11"/>
  <c r="O12" i="11"/>
  <c r="O19" i="11"/>
  <c r="O7" i="11"/>
  <c r="O14" i="11"/>
  <c r="O24" i="11"/>
  <c r="O26" i="11"/>
  <c r="O10" i="11"/>
  <c r="O29" i="11"/>
  <c r="O36" i="11"/>
  <c r="O5" i="11"/>
  <c r="O41" i="11"/>
  <c r="O21" i="11"/>
  <c r="O20" i="11"/>
  <c r="O27" i="11"/>
  <c r="O31" i="11"/>
  <c r="O9" i="11"/>
  <c r="O23" i="11"/>
  <c r="O13" i="11"/>
  <c r="O11" i="11"/>
  <c r="O34" i="11"/>
  <c r="O22" i="11"/>
  <c r="O28" i="11"/>
  <c r="O38" i="11"/>
  <c r="O17" i="11"/>
  <c r="O30" i="11"/>
  <c r="O32" i="11"/>
  <c r="O15" i="11"/>
  <c r="O33" i="11"/>
  <c r="O40" i="11"/>
  <c r="AD16" i="7"/>
  <c r="AC16" i="9"/>
  <c r="AD16" i="9" s="1"/>
  <c r="AC9" i="8"/>
  <c r="AC9" i="9"/>
  <c r="AD9" i="9" s="1"/>
  <c r="AD9" i="7"/>
  <c r="AD22" i="7"/>
  <c r="AC22" i="9"/>
  <c r="AD22" i="9" s="1"/>
  <c r="AD25" i="7"/>
  <c r="AC25" i="9"/>
  <c r="AD25" i="9" s="1"/>
  <c r="AD29" i="7"/>
  <c r="AC29" i="9"/>
  <c r="AD29" i="9" s="1"/>
  <c r="AD10" i="7"/>
  <c r="AC10" i="9"/>
  <c r="AD10" i="9" s="1"/>
  <c r="S15" i="24"/>
  <c r="S57" i="24" s="1"/>
  <c r="W7" i="8"/>
  <c r="V7" i="23" s="1"/>
  <c r="V59" i="23" s="1"/>
  <c r="U14" i="9"/>
  <c r="U35" i="9"/>
  <c r="U10" i="9"/>
  <c r="U48" i="9"/>
  <c r="S53" i="7"/>
  <c r="P7" i="25"/>
  <c r="P13" i="25" s="1"/>
  <c r="Q21" i="12"/>
  <c r="R21" i="11"/>
  <c r="Q21" i="13"/>
  <c r="R21" i="13" s="1"/>
  <c r="Q25" i="13"/>
  <c r="R25" i="13" s="1"/>
  <c r="Q25" i="12"/>
  <c r="R25" i="11"/>
  <c r="Q7" i="13"/>
  <c r="R7" i="13" s="1"/>
  <c r="R7" i="11"/>
  <c r="Q7" i="12"/>
  <c r="R20" i="11"/>
  <c r="Q20" i="13"/>
  <c r="R20" i="13" s="1"/>
  <c r="Q20" i="12"/>
  <c r="AI25" i="9"/>
  <c r="AI25" i="8"/>
  <c r="AI43" i="9"/>
  <c r="AI43" i="8"/>
  <c r="AI39" i="9"/>
  <c r="AI39" i="8"/>
  <c r="AE39" i="23" s="1"/>
  <c r="AE91" i="23" s="1"/>
  <c r="AI47" i="9"/>
  <c r="AI47" i="8"/>
  <c r="AI14" i="9"/>
  <c r="AI14" i="8"/>
  <c r="AI15" i="9"/>
  <c r="AI15" i="8"/>
  <c r="X53" i="7"/>
  <c r="X58" i="7" s="1"/>
  <c r="X47" i="8" s="1"/>
  <c r="W47" i="23" s="1"/>
  <c r="W99" i="23" s="1"/>
  <c r="X5" i="9"/>
  <c r="X53" i="9" s="1"/>
  <c r="AH5" i="9"/>
  <c r="AH53" i="9" s="1"/>
  <c r="AH53" i="7"/>
  <c r="AH58" i="7" s="1"/>
  <c r="AD11" i="7"/>
  <c r="AC11" i="8"/>
  <c r="AC11" i="9"/>
  <c r="AD11" i="9" s="1"/>
  <c r="AD38" i="7"/>
  <c r="AC38" i="9"/>
  <c r="AD38" i="9" s="1"/>
  <c r="AC18" i="9"/>
  <c r="AD18" i="9" s="1"/>
  <c r="AD18" i="7"/>
  <c r="AC26" i="9"/>
  <c r="AD26" i="9" s="1"/>
  <c r="AD26" i="7"/>
  <c r="AC26" i="8"/>
  <c r="AD24" i="7"/>
  <c r="AC24" i="9"/>
  <c r="AD24" i="9" s="1"/>
  <c r="AD12" i="7"/>
  <c r="AC12" i="9"/>
  <c r="AD12" i="9" s="1"/>
  <c r="L5" i="9"/>
  <c r="L53" i="9" s="1"/>
  <c r="L53" i="7"/>
  <c r="L58" i="7" s="1"/>
  <c r="U44" i="9"/>
  <c r="U26" i="9"/>
  <c r="R26" i="11"/>
  <c r="Q26" i="12"/>
  <c r="Q26" i="13"/>
  <c r="R26" i="13" s="1"/>
  <c r="R36" i="11"/>
  <c r="Q36" i="13"/>
  <c r="R36" i="13" s="1"/>
  <c r="Q36" i="12"/>
  <c r="R18" i="11"/>
  <c r="Q18" i="12"/>
  <c r="Q18" i="13"/>
  <c r="R18" i="13" s="1"/>
  <c r="Q15" i="12"/>
  <c r="R15" i="11"/>
  <c r="Q15" i="13"/>
  <c r="R15" i="13" s="1"/>
  <c r="AI46" i="9"/>
  <c r="AI46" i="8"/>
  <c r="AI21" i="9"/>
  <c r="AI21" i="8"/>
  <c r="AE21" i="23" s="1"/>
  <c r="AE73" i="23" s="1"/>
  <c r="AI11" i="9"/>
  <c r="AI11" i="8"/>
  <c r="AE11" i="23" s="1"/>
  <c r="AE63" i="23" s="1"/>
  <c r="AI6" i="9"/>
  <c r="AI6" i="8"/>
  <c r="AE6" i="23" s="1"/>
  <c r="AE58" i="23" s="1"/>
  <c r="AI26" i="9"/>
  <c r="AI26" i="8"/>
  <c r="AC48" i="9"/>
  <c r="AD48" i="9" s="1"/>
  <c r="AD48" i="7"/>
  <c r="AD17" i="7"/>
  <c r="AC17" i="9"/>
  <c r="AD17" i="9" s="1"/>
  <c r="AD20" i="7"/>
  <c r="AC20" i="9"/>
  <c r="AD20" i="9" s="1"/>
  <c r="AC37" i="9"/>
  <c r="AD37" i="9" s="1"/>
  <c r="AD37" i="7"/>
  <c r="AD6" i="7"/>
  <c r="AC6" i="9"/>
  <c r="AD6" i="9" s="1"/>
  <c r="AD40" i="7"/>
  <c r="AC40" i="9"/>
  <c r="AD40" i="9" s="1"/>
  <c r="L8" i="11"/>
  <c r="L19" i="11"/>
  <c r="L17" i="11"/>
  <c r="L35" i="11"/>
  <c r="L39" i="11"/>
  <c r="L10" i="11"/>
  <c r="L11" i="11"/>
  <c r="L38" i="11"/>
  <c r="L14" i="11"/>
  <c r="L16" i="11"/>
  <c r="L5" i="11"/>
  <c r="L31" i="11"/>
  <c r="L36" i="11"/>
  <c r="L18" i="11"/>
  <c r="L26" i="11"/>
  <c r="L21" i="11"/>
  <c r="L33" i="11"/>
  <c r="L32" i="11"/>
  <c r="L23" i="11"/>
  <c r="L7" i="11"/>
  <c r="L28" i="11"/>
  <c r="L37" i="11"/>
  <c r="L41" i="11"/>
  <c r="L34" i="11"/>
  <c r="L9" i="11"/>
  <c r="L40" i="11"/>
  <c r="L13" i="11"/>
  <c r="L30" i="11"/>
  <c r="L24" i="11"/>
  <c r="L12" i="11"/>
  <c r="L15" i="11"/>
  <c r="L29" i="11"/>
  <c r="L22" i="11"/>
  <c r="L27" i="11"/>
  <c r="L20" i="11"/>
  <c r="L6" i="11"/>
  <c r="L25" i="11"/>
  <c r="L47" i="12"/>
  <c r="L47" i="11"/>
  <c r="N28" i="24"/>
  <c r="N70" i="24" s="1"/>
  <c r="M25" i="24"/>
  <c r="M67" i="24" s="1"/>
  <c r="R29" i="24"/>
  <c r="R71" i="24" s="1"/>
  <c r="R37" i="24"/>
  <c r="R79" i="24" s="1"/>
  <c r="S18" i="24"/>
  <c r="S60" i="24" s="1"/>
  <c r="S17" i="24"/>
  <c r="S59" i="24" s="1"/>
  <c r="N38" i="24"/>
  <c r="N80" i="24" s="1"/>
  <c r="S34" i="24"/>
  <c r="S76" i="24" s="1"/>
  <c r="M18" i="24"/>
  <c r="M60" i="24" s="1"/>
  <c r="R13" i="24"/>
  <c r="R55" i="24" s="1"/>
  <c r="N41" i="24"/>
  <c r="N83" i="24" s="1"/>
  <c r="N26" i="24"/>
  <c r="N68" i="24" s="1"/>
  <c r="M36" i="24"/>
  <c r="M78" i="24" s="1"/>
  <c r="M32" i="24"/>
  <c r="M74" i="24" s="1"/>
  <c r="R10" i="24"/>
  <c r="R52" i="24" s="1"/>
  <c r="W48" i="12"/>
  <c r="R22" i="24"/>
  <c r="R64" i="24" s="1"/>
  <c r="S40" i="24"/>
  <c r="S82" i="24" s="1"/>
  <c r="M37" i="24"/>
  <c r="M79" i="24" s="1"/>
  <c r="R36" i="24"/>
  <c r="R78" i="24" s="1"/>
  <c r="N14" i="24"/>
  <c r="N56" i="24" s="1"/>
  <c r="S38" i="24"/>
  <c r="S80" i="24" s="1"/>
  <c r="N27" i="24"/>
  <c r="N69" i="24" s="1"/>
  <c r="R12" i="24"/>
  <c r="R54" i="24" s="1"/>
  <c r="R34" i="24"/>
  <c r="R76" i="24" s="1"/>
  <c r="N15" i="24"/>
  <c r="N57" i="24" s="1"/>
  <c r="N23" i="24"/>
  <c r="N65" i="24" s="1"/>
  <c r="M9" i="24"/>
  <c r="M51" i="24" s="1"/>
  <c r="M35" i="24"/>
  <c r="M77" i="24" s="1"/>
  <c r="M39" i="24"/>
  <c r="M81" i="24" s="1"/>
  <c r="R17" i="24"/>
  <c r="R59" i="24" s="1"/>
  <c r="N9" i="24"/>
  <c r="N51" i="24" s="1"/>
  <c r="M15" i="24"/>
  <c r="M57" i="24" s="1"/>
  <c r="R11" i="24"/>
  <c r="R53" i="24" s="1"/>
  <c r="N8" i="24"/>
  <c r="N50" i="24" s="1"/>
  <c r="S29" i="24"/>
  <c r="S71" i="24" s="1"/>
  <c r="M21" i="24"/>
  <c r="M63" i="24" s="1"/>
  <c r="S24" i="24"/>
  <c r="S66" i="24" s="1"/>
  <c r="M17" i="24"/>
  <c r="M59" i="24" s="1"/>
  <c r="N7" i="24"/>
  <c r="N49" i="24" s="1"/>
  <c r="S25" i="24"/>
  <c r="S67" i="24" s="1"/>
  <c r="N17" i="24"/>
  <c r="N59" i="24" s="1"/>
  <c r="N20" i="24"/>
  <c r="N62" i="24" s="1"/>
  <c r="S7" i="24"/>
  <c r="S49" i="24" s="1"/>
  <c r="S35" i="24"/>
  <c r="S77" i="24" s="1"/>
  <c r="M31" i="24"/>
  <c r="M73" i="24" s="1"/>
  <c r="R20" i="24"/>
  <c r="R62" i="24" s="1"/>
  <c r="E41" i="5"/>
  <c r="E21" i="5"/>
  <c r="M33" i="24"/>
  <c r="M75" i="24" s="1"/>
  <c r="R5" i="24"/>
  <c r="R47" i="24" s="1"/>
  <c r="H9" i="26" s="1"/>
  <c r="S26" i="24"/>
  <c r="S68" i="24" s="1"/>
  <c r="S31" i="24"/>
  <c r="S73" i="24" s="1"/>
  <c r="R24" i="24"/>
  <c r="R66" i="24" s="1"/>
  <c r="N39" i="24"/>
  <c r="N81" i="24" s="1"/>
  <c r="N11" i="24"/>
  <c r="N53" i="24" s="1"/>
  <c r="R19" i="24"/>
  <c r="R61" i="24" s="1"/>
  <c r="N37" i="24"/>
  <c r="N79" i="24" s="1"/>
  <c r="S22" i="24"/>
  <c r="S64" i="24" s="1"/>
  <c r="S32" i="24"/>
  <c r="S74" i="24" s="1"/>
  <c r="N32" i="24"/>
  <c r="N74" i="24" s="1"/>
  <c r="S13" i="24"/>
  <c r="S55" i="24" s="1"/>
  <c r="M12" i="24"/>
  <c r="M54" i="24" s="1"/>
  <c r="S33" i="24"/>
  <c r="S75" i="24" s="1"/>
  <c r="M29" i="24"/>
  <c r="M71" i="24" s="1"/>
  <c r="S19" i="24"/>
  <c r="S61" i="24" s="1"/>
  <c r="M11" i="24"/>
  <c r="M53" i="24" s="1"/>
  <c r="N34" i="24"/>
  <c r="N76" i="24" s="1"/>
  <c r="R39" i="24"/>
  <c r="R81" i="24" s="1"/>
  <c r="N10" i="24"/>
  <c r="N52" i="24" s="1"/>
  <c r="N12" i="24"/>
  <c r="N54" i="24" s="1"/>
  <c r="M22" i="24"/>
  <c r="M64" i="24" s="1"/>
  <c r="N5" i="24"/>
  <c r="N47" i="24" s="1"/>
  <c r="D9" i="26" s="1"/>
  <c r="S28" i="24"/>
  <c r="S70" i="24" s="1"/>
  <c r="M10" i="24"/>
  <c r="M52" i="24" s="1"/>
  <c r="N22" i="24"/>
  <c r="N64" i="24" s="1"/>
  <c r="S10" i="24"/>
  <c r="S52" i="24" s="1"/>
  <c r="N25" i="24"/>
  <c r="N67" i="24" s="1"/>
  <c r="S8" i="24"/>
  <c r="S50" i="24" s="1"/>
  <c r="S27" i="24"/>
  <c r="S69" i="24" s="1"/>
  <c r="N24" i="24"/>
  <c r="N66" i="24" s="1"/>
  <c r="S6" i="24"/>
  <c r="S48" i="24" s="1"/>
  <c r="M38" i="24"/>
  <c r="M80" i="24" s="1"/>
  <c r="N35" i="24"/>
  <c r="N77" i="24" s="1"/>
  <c r="N29" i="24"/>
  <c r="N71" i="24" s="1"/>
  <c r="M20" i="24"/>
  <c r="M62" i="24" s="1"/>
  <c r="N36" i="24"/>
  <c r="N78" i="24" s="1"/>
  <c r="S39" i="24"/>
  <c r="S81" i="24" s="1"/>
  <c r="R8" i="24"/>
  <c r="R50" i="24" s="1"/>
  <c r="M7" i="24"/>
  <c r="M49" i="24" s="1"/>
  <c r="R16" i="24"/>
  <c r="R58" i="24" s="1"/>
  <c r="M34" i="24"/>
  <c r="M76" i="24" s="1"/>
  <c r="R7" i="24"/>
  <c r="R49" i="24" s="1"/>
  <c r="S30" i="24"/>
  <c r="S72" i="24" s="1"/>
  <c r="N18" i="24"/>
  <c r="N60" i="24" s="1"/>
  <c r="R35" i="24"/>
  <c r="R77" i="24" s="1"/>
  <c r="R15" i="24"/>
  <c r="R57" i="24" s="1"/>
  <c r="R14" i="24"/>
  <c r="R56" i="24" s="1"/>
  <c r="S9" i="24"/>
  <c r="S51" i="24" s="1"/>
  <c r="M27" i="24"/>
  <c r="M69" i="24" s="1"/>
  <c r="N31" i="24"/>
  <c r="N73" i="24" s="1"/>
  <c r="S36" i="24"/>
  <c r="S78" i="24" s="1"/>
  <c r="M23" i="24"/>
  <c r="M65" i="24" s="1"/>
  <c r="R21" i="24"/>
  <c r="R63" i="24" s="1"/>
  <c r="N30" i="24"/>
  <c r="N72" i="24" s="1"/>
  <c r="M16" i="24"/>
  <c r="M58" i="24" s="1"/>
  <c r="R9" i="24"/>
  <c r="R51" i="24" s="1"/>
  <c r="M14" i="24"/>
  <c r="M56" i="24" s="1"/>
  <c r="M26" i="24"/>
  <c r="M68" i="24" s="1"/>
  <c r="S23" i="24"/>
  <c r="S65" i="24" s="1"/>
  <c r="N21" i="24"/>
  <c r="N63" i="24" s="1"/>
  <c r="N40" i="24"/>
  <c r="N82" i="24" s="1"/>
  <c r="S11" i="24"/>
  <c r="S53" i="24" s="1"/>
  <c r="S5" i="24"/>
  <c r="S47" i="24" s="1"/>
  <c r="I9" i="26" s="1"/>
  <c r="C9" i="26"/>
  <c r="C11" i="26"/>
  <c r="N43" i="12"/>
  <c r="U43" i="13"/>
  <c r="F45" i="5"/>
  <c r="P46" i="13"/>
  <c r="P46" i="12"/>
  <c r="P46" i="11"/>
  <c r="P46" i="10"/>
  <c r="T57" i="6"/>
  <c r="T55" i="9"/>
  <c r="T55" i="8"/>
  <c r="T55" i="7"/>
  <c r="N43" i="13"/>
  <c r="U43" i="12"/>
  <c r="T58" i="6"/>
  <c r="T56" i="9"/>
  <c r="T56" i="7"/>
  <c r="T56" i="8"/>
  <c r="T43" i="13"/>
  <c r="P45" i="13"/>
  <c r="P45" i="12"/>
  <c r="P45" i="11"/>
  <c r="P45" i="10"/>
  <c r="AM56" i="6"/>
  <c r="AM54" i="9"/>
  <c r="AM54" i="7"/>
  <c r="AM54" i="8" s="1"/>
  <c r="M43" i="13"/>
  <c r="T43" i="12"/>
  <c r="M43" i="12"/>
  <c r="F29" i="5"/>
  <c r="AD30" i="8" l="1"/>
  <c r="AA30" i="23"/>
  <c r="AA82" i="23" s="1"/>
  <c r="AB25" i="7"/>
  <c r="AC37" i="8"/>
  <c r="AE15" i="23"/>
  <c r="AE67" i="23" s="1"/>
  <c r="AE43" i="23"/>
  <c r="AE95" i="23" s="1"/>
  <c r="O28" i="12"/>
  <c r="O28" i="24" s="1"/>
  <c r="O70" i="24" s="1"/>
  <c r="O28" i="13"/>
  <c r="O27" i="12"/>
  <c r="O27" i="24" s="1"/>
  <c r="O69" i="24" s="1"/>
  <c r="O27" i="13"/>
  <c r="O26" i="12"/>
  <c r="O26" i="24" s="1"/>
  <c r="O68" i="24" s="1"/>
  <c r="O26" i="13"/>
  <c r="O8" i="12"/>
  <c r="O8" i="24" s="1"/>
  <c r="O50" i="24" s="1"/>
  <c r="O8" i="13"/>
  <c r="Z17" i="11"/>
  <c r="Y17" i="12"/>
  <c r="Y17" i="13"/>
  <c r="Z17" i="13" s="1"/>
  <c r="Y12" i="13"/>
  <c r="Z12" i="13" s="1"/>
  <c r="Y12" i="12"/>
  <c r="Z12" i="11"/>
  <c r="Y14" i="13"/>
  <c r="Z14" i="13" s="1"/>
  <c r="Y14" i="12"/>
  <c r="Z14" i="11"/>
  <c r="Y34" i="13"/>
  <c r="Z34" i="13" s="1"/>
  <c r="Y34" i="12"/>
  <c r="Z34" i="11"/>
  <c r="Y32" i="12"/>
  <c r="Z32" i="11"/>
  <c r="Y32" i="13"/>
  <c r="Z32" i="13" s="1"/>
  <c r="AE34" i="23"/>
  <c r="AE86" i="23" s="1"/>
  <c r="AI13" i="8"/>
  <c r="AE13" i="23" s="1"/>
  <c r="AE65" i="23" s="1"/>
  <c r="AC35" i="8"/>
  <c r="AI22" i="8"/>
  <c r="AE22" i="23" s="1"/>
  <c r="AE74" i="23" s="1"/>
  <c r="AI33" i="8"/>
  <c r="AE33" i="23" s="1"/>
  <c r="AE85" i="23" s="1"/>
  <c r="Y20" i="7"/>
  <c r="Y18" i="7"/>
  <c r="Y36" i="7"/>
  <c r="Y40" i="7"/>
  <c r="Y31" i="7"/>
  <c r="Y49" i="7"/>
  <c r="Y12" i="7"/>
  <c r="Y14" i="7"/>
  <c r="Y44" i="7"/>
  <c r="Y45" i="7"/>
  <c r="Y39" i="7"/>
  <c r="Y25" i="7"/>
  <c r="Y8" i="7"/>
  <c r="Y10" i="7"/>
  <c r="Y32" i="7"/>
  <c r="Y48" i="7"/>
  <c r="Y42" i="7"/>
  <c r="AB42" i="7" s="1"/>
  <c r="Y17" i="7"/>
  <c r="Y19" i="7"/>
  <c r="Y22" i="7"/>
  <c r="Y24" i="7"/>
  <c r="Y41" i="7"/>
  <c r="Y29" i="7"/>
  <c r="Y9" i="7"/>
  <c r="Y11" i="7"/>
  <c r="Y33" i="7"/>
  <c r="Y37" i="7"/>
  <c r="Y21" i="7"/>
  <c r="Y27" i="7"/>
  <c r="Y5" i="7"/>
  <c r="Y7" i="7"/>
  <c r="Y28" i="7"/>
  <c r="Y46" i="7"/>
  <c r="Y51" i="7"/>
  <c r="Y51" i="9" s="1"/>
  <c r="Y30" i="7"/>
  <c r="Y23" i="7"/>
  <c r="Y35" i="7"/>
  <c r="Y43" i="7"/>
  <c r="Y13" i="7"/>
  <c r="Y26" i="7"/>
  <c r="Y16" i="7"/>
  <c r="Y34" i="7"/>
  <c r="Y15" i="7"/>
  <c r="Y47" i="7"/>
  <c r="Y6" i="7"/>
  <c r="AB6" i="7" s="1"/>
  <c r="Y38" i="7"/>
  <c r="Y50" i="7"/>
  <c r="AI27" i="8"/>
  <c r="AE27" i="23" s="1"/>
  <c r="AE79" i="23" s="1"/>
  <c r="AE18" i="23"/>
  <c r="AE70" i="23" s="1"/>
  <c r="S25" i="12"/>
  <c r="V25" i="11"/>
  <c r="S25" i="13"/>
  <c r="V25" i="13" s="1"/>
  <c r="S40" i="12"/>
  <c r="S40" i="13"/>
  <c r="V40" i="13" s="1"/>
  <c r="V40" i="11"/>
  <c r="V39" i="11"/>
  <c r="S39" i="13"/>
  <c r="V39" i="13" s="1"/>
  <c r="S39" i="12"/>
  <c r="S9" i="12"/>
  <c r="V9" i="11"/>
  <c r="S9" i="13"/>
  <c r="V9" i="13" s="1"/>
  <c r="S30" i="12"/>
  <c r="S30" i="13"/>
  <c r="V30" i="13" s="1"/>
  <c r="V30" i="11"/>
  <c r="AI48" i="8"/>
  <c r="AE48" i="23" s="1"/>
  <c r="AE100" i="23" s="1"/>
  <c r="V45" i="9"/>
  <c r="V35" i="9"/>
  <c r="V49" i="9"/>
  <c r="AB49" i="7"/>
  <c r="V19" i="9"/>
  <c r="V48" i="9"/>
  <c r="V41" i="9"/>
  <c r="AB41" i="7"/>
  <c r="D11" i="26"/>
  <c r="AE26" i="23"/>
  <c r="AE78" i="23" s="1"/>
  <c r="AE46" i="23"/>
  <c r="AE98" i="23" s="1"/>
  <c r="R36" i="12"/>
  <c r="P36" i="24"/>
  <c r="P78" i="24" s="1"/>
  <c r="O40" i="12"/>
  <c r="O40" i="24" s="1"/>
  <c r="O82" i="24" s="1"/>
  <c r="O40" i="13"/>
  <c r="O22" i="12"/>
  <c r="O22" i="24" s="1"/>
  <c r="O64" i="24" s="1"/>
  <c r="O22" i="13"/>
  <c r="O20" i="12"/>
  <c r="O20" i="24" s="1"/>
  <c r="O62" i="24" s="1"/>
  <c r="O20" i="13"/>
  <c r="O24" i="12"/>
  <c r="O24" i="24" s="1"/>
  <c r="O66" i="24" s="1"/>
  <c r="O24" i="13"/>
  <c r="O39" i="13"/>
  <c r="O39" i="12"/>
  <c r="Y18" i="12"/>
  <c r="Z18" i="11"/>
  <c r="Y18" i="13"/>
  <c r="Z18" i="13" s="1"/>
  <c r="Z27" i="11"/>
  <c r="Y27" i="12"/>
  <c r="Y27" i="13"/>
  <c r="Z27" i="13" s="1"/>
  <c r="Z33" i="11"/>
  <c r="Y33" i="12"/>
  <c r="Y33" i="13"/>
  <c r="Z33" i="13" s="1"/>
  <c r="Y7" i="13"/>
  <c r="Z7" i="13" s="1"/>
  <c r="Z7" i="11"/>
  <c r="Y7" i="12"/>
  <c r="Y25" i="13"/>
  <c r="Z25" i="13" s="1"/>
  <c r="Z25" i="11"/>
  <c r="Y25" i="12"/>
  <c r="AE45" i="23"/>
  <c r="AE97" i="23" s="1"/>
  <c r="M53" i="7"/>
  <c r="M58" i="7" s="1"/>
  <c r="M5" i="9"/>
  <c r="M53" i="9" s="1"/>
  <c r="R34" i="12"/>
  <c r="P34" i="24"/>
  <c r="P76" i="24" s="1"/>
  <c r="R22" i="12"/>
  <c r="P22" i="24"/>
  <c r="P64" i="24" s="1"/>
  <c r="AE23" i="23"/>
  <c r="AE75" i="23" s="1"/>
  <c r="R27" i="12"/>
  <c r="P27" i="24"/>
  <c r="P69" i="24" s="1"/>
  <c r="R41" i="12"/>
  <c r="P41" i="24"/>
  <c r="P83" i="24" s="1"/>
  <c r="R33" i="12"/>
  <c r="P33" i="24"/>
  <c r="P75" i="24" s="1"/>
  <c r="AI18" i="8"/>
  <c r="V22" i="11"/>
  <c r="S22" i="12"/>
  <c r="S22" i="13"/>
  <c r="V22" i="13" s="1"/>
  <c r="S15" i="12"/>
  <c r="S15" i="13"/>
  <c r="V15" i="13" s="1"/>
  <c r="V15" i="11"/>
  <c r="S16" i="12"/>
  <c r="S16" i="13"/>
  <c r="V16" i="13" s="1"/>
  <c r="V16" i="11"/>
  <c r="V28" i="11"/>
  <c r="S28" i="12"/>
  <c r="S28" i="13"/>
  <c r="V28" i="13" s="1"/>
  <c r="S12" i="12"/>
  <c r="S12" i="13"/>
  <c r="V12" i="13" s="1"/>
  <c r="V12" i="11"/>
  <c r="AI28" i="8"/>
  <c r="AE28" i="23" s="1"/>
  <c r="AE80" i="23" s="1"/>
  <c r="AB22" i="7"/>
  <c r="V22" i="9"/>
  <c r="AB28" i="7"/>
  <c r="V28" i="9"/>
  <c r="V6" i="9"/>
  <c r="AB50" i="7"/>
  <c r="V50" i="9"/>
  <c r="V21" i="9"/>
  <c r="AB11" i="7"/>
  <c r="V11" i="9"/>
  <c r="AD26" i="8"/>
  <c r="AA26" i="23"/>
  <c r="AA78" i="23" s="1"/>
  <c r="AD11" i="8"/>
  <c r="AA11" i="23"/>
  <c r="AA63" i="23" s="1"/>
  <c r="AE14" i="23"/>
  <c r="AE66" i="23" s="1"/>
  <c r="AE25" i="23"/>
  <c r="AE77" i="23" s="1"/>
  <c r="O33" i="13"/>
  <c r="O33" i="12"/>
  <c r="O34" i="13"/>
  <c r="O34" i="12"/>
  <c r="O21" i="12"/>
  <c r="O21" i="24" s="1"/>
  <c r="O63" i="24" s="1"/>
  <c r="O21" i="13"/>
  <c r="O14" i="12"/>
  <c r="O14" i="24" s="1"/>
  <c r="O56" i="24" s="1"/>
  <c r="O14" i="13"/>
  <c r="O18" i="12"/>
  <c r="O18" i="24" s="1"/>
  <c r="O60" i="24" s="1"/>
  <c r="O18" i="13"/>
  <c r="Z35" i="11"/>
  <c r="Y35" i="12"/>
  <c r="Y35" i="13"/>
  <c r="Z35" i="13" s="1"/>
  <c r="Y41" i="12"/>
  <c r="Z41" i="11"/>
  <c r="Y41" i="13"/>
  <c r="Z41" i="13" s="1"/>
  <c r="Y22" i="12"/>
  <c r="Y22" i="13"/>
  <c r="Z22" i="13" s="1"/>
  <c r="Z22" i="11"/>
  <c r="Y21" i="12"/>
  <c r="Z21" i="11"/>
  <c r="Y21" i="13"/>
  <c r="Z21" i="13" s="1"/>
  <c r="Y10" i="12"/>
  <c r="Z10" i="11"/>
  <c r="Y10" i="13"/>
  <c r="Z10" i="13" s="1"/>
  <c r="R30" i="12"/>
  <c r="P30" i="24"/>
  <c r="P72" i="24" s="1"/>
  <c r="R14" i="12"/>
  <c r="P14" i="24"/>
  <c r="P56" i="24" s="1"/>
  <c r="AE10" i="23"/>
  <c r="AE62" i="23" s="1"/>
  <c r="R9" i="12"/>
  <c r="P9" i="24"/>
  <c r="P51" i="24" s="1"/>
  <c r="U35" i="8"/>
  <c r="U34" i="8"/>
  <c r="U24" i="8"/>
  <c r="T24" i="23" s="1"/>
  <c r="T76" i="23" s="1"/>
  <c r="U14" i="8"/>
  <c r="T14" i="23" s="1"/>
  <c r="T66" i="23" s="1"/>
  <c r="U19" i="8"/>
  <c r="T19" i="23" s="1"/>
  <c r="T71" i="23" s="1"/>
  <c r="U11" i="8"/>
  <c r="T11" i="23" s="1"/>
  <c r="T63" i="23" s="1"/>
  <c r="U12" i="8"/>
  <c r="T12" i="23" s="1"/>
  <c r="T64" i="23" s="1"/>
  <c r="U43" i="8"/>
  <c r="T43" i="23" s="1"/>
  <c r="T95" i="23" s="1"/>
  <c r="U7" i="8"/>
  <c r="T7" i="23" s="1"/>
  <c r="T59" i="23" s="1"/>
  <c r="U47" i="8"/>
  <c r="T47" i="23" s="1"/>
  <c r="T99" i="23" s="1"/>
  <c r="U39" i="8"/>
  <c r="U49" i="8"/>
  <c r="T49" i="23" s="1"/>
  <c r="T101" i="23" s="1"/>
  <c r="U32" i="8"/>
  <c r="U17" i="8"/>
  <c r="U13" i="8"/>
  <c r="U21" i="8"/>
  <c r="T21" i="23" s="1"/>
  <c r="T73" i="23" s="1"/>
  <c r="U48" i="8"/>
  <c r="U30" i="8"/>
  <c r="T30" i="23" s="1"/>
  <c r="T82" i="23" s="1"/>
  <c r="U45" i="8"/>
  <c r="T45" i="23" s="1"/>
  <c r="T97" i="23" s="1"/>
  <c r="U18" i="8"/>
  <c r="T18" i="23" s="1"/>
  <c r="T70" i="23" s="1"/>
  <c r="U38" i="8"/>
  <c r="U50" i="8"/>
  <c r="T50" i="23" s="1"/>
  <c r="T102" i="23" s="1"/>
  <c r="U9" i="8"/>
  <c r="T9" i="23" s="1"/>
  <c r="T61" i="23" s="1"/>
  <c r="U22" i="8"/>
  <c r="T22" i="23" s="1"/>
  <c r="T74" i="23" s="1"/>
  <c r="U5" i="8"/>
  <c r="U26" i="8"/>
  <c r="U44" i="8"/>
  <c r="T44" i="23" s="1"/>
  <c r="T96" i="23" s="1"/>
  <c r="U46" i="8"/>
  <c r="T46" i="23" s="1"/>
  <c r="T98" i="23" s="1"/>
  <c r="U6" i="8"/>
  <c r="T6" i="23" s="1"/>
  <c r="T58" i="23" s="1"/>
  <c r="U31" i="8"/>
  <c r="U27" i="8"/>
  <c r="T27" i="23" s="1"/>
  <c r="T79" i="23" s="1"/>
  <c r="U40" i="8"/>
  <c r="T40" i="23" s="1"/>
  <c r="T92" i="23" s="1"/>
  <c r="U10" i="8"/>
  <c r="T10" i="23" s="1"/>
  <c r="T62" i="23" s="1"/>
  <c r="U42" i="8"/>
  <c r="T42" i="23" s="1"/>
  <c r="T94" i="23" s="1"/>
  <c r="U41" i="8"/>
  <c r="T41" i="23" s="1"/>
  <c r="T93" i="23" s="1"/>
  <c r="U29" i="8"/>
  <c r="T29" i="23" s="1"/>
  <c r="T81" i="23" s="1"/>
  <c r="U33" i="8"/>
  <c r="T33" i="23" s="1"/>
  <c r="T85" i="23" s="1"/>
  <c r="U37" i="8"/>
  <c r="U20" i="8"/>
  <c r="U23" i="8"/>
  <c r="T23" i="23" s="1"/>
  <c r="T75" i="23" s="1"/>
  <c r="U16" i="8"/>
  <c r="T16" i="23" s="1"/>
  <c r="T68" i="23" s="1"/>
  <c r="U15" i="8"/>
  <c r="U28" i="8"/>
  <c r="U25" i="8"/>
  <c r="U8" i="8"/>
  <c r="T8" i="23" s="1"/>
  <c r="T60" i="23" s="1"/>
  <c r="U51" i="8"/>
  <c r="T51" i="23" s="1"/>
  <c r="T103" i="23" s="1"/>
  <c r="AE41" i="23"/>
  <c r="AE93" i="23" s="1"/>
  <c r="AE5" i="23"/>
  <c r="AE57" i="23" s="1"/>
  <c r="U11" i="25" s="1"/>
  <c r="V41" i="11"/>
  <c r="S41" i="13"/>
  <c r="V41" i="13" s="1"/>
  <c r="S41" i="12"/>
  <c r="S38" i="13"/>
  <c r="V38" i="13" s="1"/>
  <c r="V38" i="11"/>
  <c r="S38" i="12"/>
  <c r="S31" i="13"/>
  <c r="V31" i="13" s="1"/>
  <c r="V31" i="11"/>
  <c r="S31" i="12"/>
  <c r="V37" i="11"/>
  <c r="S37" i="12"/>
  <c r="S37" i="13"/>
  <c r="V37" i="13" s="1"/>
  <c r="S8" i="12"/>
  <c r="S8" i="13"/>
  <c r="V8" i="13" s="1"/>
  <c r="V8" i="11"/>
  <c r="R19" i="12"/>
  <c r="P19" i="24"/>
  <c r="P61" i="24" s="1"/>
  <c r="U36" i="8"/>
  <c r="T36" i="23" s="1"/>
  <c r="T88" i="23" s="1"/>
  <c r="AI20" i="8"/>
  <c r="AE20" i="23" s="1"/>
  <c r="AE72" i="23" s="1"/>
  <c r="R39" i="12"/>
  <c r="P39" i="24"/>
  <c r="P81" i="24" s="1"/>
  <c r="R24" i="12"/>
  <c r="P24" i="24"/>
  <c r="P66" i="24" s="1"/>
  <c r="V34" i="9"/>
  <c r="V14" i="9"/>
  <c r="AB15" i="7"/>
  <c r="V15" i="9"/>
  <c r="V51" i="9"/>
  <c r="AB51" i="9" s="1"/>
  <c r="AB51" i="7"/>
  <c r="V17" i="9"/>
  <c r="AB17" i="7"/>
  <c r="V42" i="9"/>
  <c r="U9" i="25"/>
  <c r="L8" i="8"/>
  <c r="L8" i="23" s="1"/>
  <c r="L60" i="23" s="1"/>
  <c r="L44" i="8"/>
  <c r="L44" i="23" s="1"/>
  <c r="L96" i="23" s="1"/>
  <c r="L32" i="8"/>
  <c r="L32" i="23" s="1"/>
  <c r="L84" i="23" s="1"/>
  <c r="L23" i="8"/>
  <c r="L23" i="23" s="1"/>
  <c r="L75" i="23" s="1"/>
  <c r="L29" i="8"/>
  <c r="L29" i="23" s="1"/>
  <c r="L81" i="23" s="1"/>
  <c r="L16" i="8"/>
  <c r="L16" i="23" s="1"/>
  <c r="L68" i="23" s="1"/>
  <c r="L26" i="8"/>
  <c r="L26" i="23" s="1"/>
  <c r="L78" i="23" s="1"/>
  <c r="L22" i="8"/>
  <c r="L22" i="23" s="1"/>
  <c r="L74" i="23" s="1"/>
  <c r="L13" i="8"/>
  <c r="L13" i="23" s="1"/>
  <c r="L65" i="23" s="1"/>
  <c r="L7" i="8"/>
  <c r="L7" i="23" s="1"/>
  <c r="L59" i="23" s="1"/>
  <c r="L15" i="8"/>
  <c r="L15" i="23" s="1"/>
  <c r="L67" i="23" s="1"/>
  <c r="L47" i="8"/>
  <c r="L47" i="23" s="1"/>
  <c r="L99" i="23" s="1"/>
  <c r="L37" i="8"/>
  <c r="L37" i="23" s="1"/>
  <c r="L89" i="23" s="1"/>
  <c r="L45" i="8"/>
  <c r="L45" i="23" s="1"/>
  <c r="L97" i="23" s="1"/>
  <c r="L42" i="8"/>
  <c r="L42" i="23" s="1"/>
  <c r="L94" i="23" s="1"/>
  <c r="L49" i="8"/>
  <c r="L49" i="23" s="1"/>
  <c r="L101" i="23" s="1"/>
  <c r="L11" i="8"/>
  <c r="L11" i="23" s="1"/>
  <c r="L63" i="23" s="1"/>
  <c r="L9" i="8"/>
  <c r="L9" i="23" s="1"/>
  <c r="L61" i="23" s="1"/>
  <c r="L30" i="8"/>
  <c r="L30" i="23" s="1"/>
  <c r="L82" i="23" s="1"/>
  <c r="L33" i="8"/>
  <c r="L33" i="23" s="1"/>
  <c r="L85" i="23" s="1"/>
  <c r="L38" i="8"/>
  <c r="L38" i="23" s="1"/>
  <c r="L90" i="23" s="1"/>
  <c r="L48" i="8"/>
  <c r="L48" i="23" s="1"/>
  <c r="L100" i="23" s="1"/>
  <c r="L20" i="8"/>
  <c r="L20" i="23" s="1"/>
  <c r="L72" i="23" s="1"/>
  <c r="L18" i="8"/>
  <c r="L18" i="23" s="1"/>
  <c r="L70" i="23" s="1"/>
  <c r="L40" i="8"/>
  <c r="L40" i="23" s="1"/>
  <c r="L92" i="23" s="1"/>
  <c r="L6" i="8"/>
  <c r="L6" i="23" s="1"/>
  <c r="L58" i="23" s="1"/>
  <c r="L39" i="8"/>
  <c r="L39" i="23" s="1"/>
  <c r="L91" i="23" s="1"/>
  <c r="L12" i="8"/>
  <c r="L12" i="23" s="1"/>
  <c r="L64" i="23" s="1"/>
  <c r="L27" i="8"/>
  <c r="L27" i="23" s="1"/>
  <c r="L79" i="23" s="1"/>
  <c r="L51" i="8"/>
  <c r="L51" i="23" s="1"/>
  <c r="L103" i="23" s="1"/>
  <c r="L46" i="8"/>
  <c r="L46" i="23" s="1"/>
  <c r="L98" i="23" s="1"/>
  <c r="L28" i="8"/>
  <c r="L28" i="23" s="1"/>
  <c r="L80" i="23" s="1"/>
  <c r="L10" i="8"/>
  <c r="L10" i="23" s="1"/>
  <c r="L62" i="23" s="1"/>
  <c r="L25" i="8"/>
  <c r="L25" i="23" s="1"/>
  <c r="L77" i="23" s="1"/>
  <c r="L24" i="8"/>
  <c r="L24" i="23" s="1"/>
  <c r="L76" i="23" s="1"/>
  <c r="L5" i="8"/>
  <c r="L50" i="8"/>
  <c r="L50" i="23" s="1"/>
  <c r="L102" i="23" s="1"/>
  <c r="L14" i="8"/>
  <c r="L14" i="23" s="1"/>
  <c r="L66" i="23" s="1"/>
  <c r="L31" i="8"/>
  <c r="L31" i="23" s="1"/>
  <c r="L83" i="23" s="1"/>
  <c r="L17" i="8"/>
  <c r="L17" i="23" s="1"/>
  <c r="L69" i="23" s="1"/>
  <c r="L43" i="8"/>
  <c r="L43" i="23" s="1"/>
  <c r="L95" i="23" s="1"/>
  <c r="L35" i="8"/>
  <c r="L35" i="23" s="1"/>
  <c r="L87" i="23" s="1"/>
  <c r="L34" i="8"/>
  <c r="L34" i="23" s="1"/>
  <c r="L86" i="23" s="1"/>
  <c r="L19" i="8"/>
  <c r="L19" i="23" s="1"/>
  <c r="L71" i="23" s="1"/>
  <c r="L21" i="8"/>
  <c r="L21" i="23" s="1"/>
  <c r="L73" i="23" s="1"/>
  <c r="L36" i="8"/>
  <c r="L36" i="23" s="1"/>
  <c r="L88" i="23" s="1"/>
  <c r="R25" i="12"/>
  <c r="P25" i="24"/>
  <c r="P67" i="24" s="1"/>
  <c r="O15" i="12"/>
  <c r="O15" i="13"/>
  <c r="O11" i="12"/>
  <c r="O11" i="13"/>
  <c r="O41" i="13"/>
  <c r="O41" i="12"/>
  <c r="O41" i="24" s="1"/>
  <c r="O83" i="24" s="1"/>
  <c r="O7" i="12"/>
  <c r="O7" i="24" s="1"/>
  <c r="O49" i="24" s="1"/>
  <c r="O7" i="13"/>
  <c r="O37" i="12"/>
  <c r="O37" i="13"/>
  <c r="Y24" i="12"/>
  <c r="Z24" i="11"/>
  <c r="Y24" i="13"/>
  <c r="Z24" i="13" s="1"/>
  <c r="Z30" i="11"/>
  <c r="Y30" i="12"/>
  <c r="Y30" i="13"/>
  <c r="Z30" i="13" s="1"/>
  <c r="Y13" i="13"/>
  <c r="Z13" i="13" s="1"/>
  <c r="Z13" i="11"/>
  <c r="Y13" i="12"/>
  <c r="Z38" i="11"/>
  <c r="Y38" i="12"/>
  <c r="Y38" i="13"/>
  <c r="Z38" i="13" s="1"/>
  <c r="R35" i="12"/>
  <c r="P35" i="24"/>
  <c r="P77" i="24" s="1"/>
  <c r="P5" i="24"/>
  <c r="P47" i="24" s="1"/>
  <c r="R5" i="12"/>
  <c r="Q43" i="12"/>
  <c r="U53" i="9"/>
  <c r="O36" i="8"/>
  <c r="O36" i="23" s="1"/>
  <c r="O88" i="23" s="1"/>
  <c r="O11" i="8"/>
  <c r="O11" i="23" s="1"/>
  <c r="O63" i="23" s="1"/>
  <c r="O25" i="8"/>
  <c r="O25" i="23" s="1"/>
  <c r="O77" i="23" s="1"/>
  <c r="O23" i="8"/>
  <c r="O23" i="23" s="1"/>
  <c r="O75" i="23" s="1"/>
  <c r="O18" i="8"/>
  <c r="O18" i="23" s="1"/>
  <c r="O70" i="23" s="1"/>
  <c r="O46" i="8"/>
  <c r="O46" i="23" s="1"/>
  <c r="O98" i="23" s="1"/>
  <c r="O5" i="8"/>
  <c r="O44" i="8"/>
  <c r="O44" i="23" s="1"/>
  <c r="O96" i="23" s="1"/>
  <c r="O9" i="8"/>
  <c r="O9" i="23" s="1"/>
  <c r="O61" i="23" s="1"/>
  <c r="O26" i="8"/>
  <c r="O26" i="23" s="1"/>
  <c r="O78" i="23" s="1"/>
  <c r="O47" i="8"/>
  <c r="O47" i="23" s="1"/>
  <c r="O99" i="23" s="1"/>
  <c r="O35" i="8"/>
  <c r="O35" i="23" s="1"/>
  <c r="O87" i="23" s="1"/>
  <c r="O31" i="8"/>
  <c r="O31" i="23" s="1"/>
  <c r="O83" i="23" s="1"/>
  <c r="O45" i="8"/>
  <c r="O45" i="23" s="1"/>
  <c r="O97" i="23" s="1"/>
  <c r="O42" i="8"/>
  <c r="O42" i="23" s="1"/>
  <c r="O94" i="23" s="1"/>
  <c r="O49" i="8"/>
  <c r="O49" i="23" s="1"/>
  <c r="O101" i="23" s="1"/>
  <c r="O39" i="8"/>
  <c r="O39" i="23" s="1"/>
  <c r="O91" i="23" s="1"/>
  <c r="O15" i="8"/>
  <c r="O15" i="23" s="1"/>
  <c r="O67" i="23" s="1"/>
  <c r="O34" i="8"/>
  <c r="O34" i="23" s="1"/>
  <c r="O86" i="23" s="1"/>
  <c r="O13" i="8"/>
  <c r="O13" i="23" s="1"/>
  <c r="O65" i="23" s="1"/>
  <c r="O50" i="8"/>
  <c r="O50" i="23" s="1"/>
  <c r="O102" i="23" s="1"/>
  <c r="O30" i="8"/>
  <c r="O30" i="23" s="1"/>
  <c r="O82" i="23" s="1"/>
  <c r="O20" i="8"/>
  <c r="O20" i="23" s="1"/>
  <c r="O72" i="23" s="1"/>
  <c r="O33" i="8"/>
  <c r="O33" i="23" s="1"/>
  <c r="O85" i="23" s="1"/>
  <c r="O14" i="8"/>
  <c r="O14" i="23" s="1"/>
  <c r="O66" i="23" s="1"/>
  <c r="O17" i="8"/>
  <c r="O17" i="23" s="1"/>
  <c r="O69" i="23" s="1"/>
  <c r="O40" i="8"/>
  <c r="O40" i="23" s="1"/>
  <c r="O92" i="23" s="1"/>
  <c r="O27" i="8"/>
  <c r="O27" i="23" s="1"/>
  <c r="O79" i="23" s="1"/>
  <c r="O29" i="8"/>
  <c r="O29" i="23" s="1"/>
  <c r="O81" i="23" s="1"/>
  <c r="O41" i="8"/>
  <c r="O41" i="23" s="1"/>
  <c r="O93" i="23" s="1"/>
  <c r="O32" i="8"/>
  <c r="O32" i="23" s="1"/>
  <c r="O84" i="23" s="1"/>
  <c r="O12" i="8"/>
  <c r="O12" i="23" s="1"/>
  <c r="O64" i="23" s="1"/>
  <c r="O28" i="8"/>
  <c r="O28" i="23" s="1"/>
  <c r="O80" i="23" s="1"/>
  <c r="O6" i="8"/>
  <c r="O6" i="23" s="1"/>
  <c r="O58" i="23" s="1"/>
  <c r="O37" i="8"/>
  <c r="O37" i="23" s="1"/>
  <c r="O89" i="23" s="1"/>
  <c r="O24" i="8"/>
  <c r="O24" i="23" s="1"/>
  <c r="O76" i="23" s="1"/>
  <c r="O38" i="8"/>
  <c r="O38" i="23" s="1"/>
  <c r="O90" i="23" s="1"/>
  <c r="O43" i="8"/>
  <c r="O43" i="23" s="1"/>
  <c r="O95" i="23" s="1"/>
  <c r="O21" i="8"/>
  <c r="O21" i="23" s="1"/>
  <c r="O73" i="23" s="1"/>
  <c r="O22" i="8"/>
  <c r="O22" i="23" s="1"/>
  <c r="O74" i="23" s="1"/>
  <c r="O51" i="8"/>
  <c r="O51" i="23" s="1"/>
  <c r="O103" i="23" s="1"/>
  <c r="O8" i="8"/>
  <c r="O8" i="23" s="1"/>
  <c r="O60" i="23" s="1"/>
  <c r="O48" i="8"/>
  <c r="O48" i="23" s="1"/>
  <c r="O100" i="23" s="1"/>
  <c r="O10" i="8"/>
  <c r="O10" i="23" s="1"/>
  <c r="O62" i="23" s="1"/>
  <c r="O16" i="8"/>
  <c r="O16" i="23" s="1"/>
  <c r="O68" i="23" s="1"/>
  <c r="O19" i="8"/>
  <c r="O19" i="23" s="1"/>
  <c r="O71" i="23" s="1"/>
  <c r="O7" i="8"/>
  <c r="O7" i="23" s="1"/>
  <c r="O59" i="23" s="1"/>
  <c r="AI53" i="9"/>
  <c r="S19" i="12"/>
  <c r="S19" i="13"/>
  <c r="V19" i="13" s="1"/>
  <c r="V19" i="11"/>
  <c r="S32" i="12"/>
  <c r="S32" i="13"/>
  <c r="V32" i="13" s="1"/>
  <c r="V32" i="11"/>
  <c r="V26" i="11"/>
  <c r="S26" i="12"/>
  <c r="S26" i="13"/>
  <c r="V26" i="13" s="1"/>
  <c r="V23" i="11"/>
  <c r="S23" i="12"/>
  <c r="S23" i="13"/>
  <c r="V23" i="13" s="1"/>
  <c r="P11" i="25"/>
  <c r="P9" i="25"/>
  <c r="AI8" i="8"/>
  <c r="AE8" i="23" s="1"/>
  <c r="AE60" i="23" s="1"/>
  <c r="V9" i="9"/>
  <c r="AB39" i="7"/>
  <c r="V39" i="9"/>
  <c r="AB46" i="7"/>
  <c r="V46" i="9"/>
  <c r="V20" i="9"/>
  <c r="AB20" i="7"/>
  <c r="V33" i="9"/>
  <c r="V43" i="9"/>
  <c r="W27" i="8"/>
  <c r="V27" i="23" s="1"/>
  <c r="V79" i="23" s="1"/>
  <c r="W48" i="8"/>
  <c r="V48" i="23" s="1"/>
  <c r="V100" i="23" s="1"/>
  <c r="W20" i="8"/>
  <c r="V20" i="23" s="1"/>
  <c r="V72" i="23" s="1"/>
  <c r="W24" i="8"/>
  <c r="V24" i="23" s="1"/>
  <c r="V76" i="23" s="1"/>
  <c r="W9" i="8"/>
  <c r="V9" i="23" s="1"/>
  <c r="V61" i="23" s="1"/>
  <c r="W49" i="8"/>
  <c r="V49" i="23" s="1"/>
  <c r="V101" i="23" s="1"/>
  <c r="W23" i="8"/>
  <c r="V23" i="23" s="1"/>
  <c r="V75" i="23" s="1"/>
  <c r="W28" i="8"/>
  <c r="V28" i="23" s="1"/>
  <c r="V80" i="23" s="1"/>
  <c r="W14" i="8"/>
  <c r="V14" i="23" s="1"/>
  <c r="V66" i="23" s="1"/>
  <c r="W46" i="8"/>
  <c r="V46" i="23" s="1"/>
  <c r="V98" i="23" s="1"/>
  <c r="W10" i="8"/>
  <c r="V10" i="23" s="1"/>
  <c r="V62" i="23" s="1"/>
  <c r="W32" i="8"/>
  <c r="V32" i="23" s="1"/>
  <c r="V84" i="23" s="1"/>
  <c r="W30" i="8"/>
  <c r="V30" i="23" s="1"/>
  <c r="V82" i="23" s="1"/>
  <c r="W42" i="8"/>
  <c r="V42" i="23" s="1"/>
  <c r="V94" i="23" s="1"/>
  <c r="W34" i="8"/>
  <c r="V34" i="23" s="1"/>
  <c r="V86" i="23" s="1"/>
  <c r="W15" i="8"/>
  <c r="V15" i="23" s="1"/>
  <c r="V67" i="23" s="1"/>
  <c r="W39" i="8"/>
  <c r="V39" i="23" s="1"/>
  <c r="V91" i="23" s="1"/>
  <c r="W5" i="8"/>
  <c r="W8" i="8"/>
  <c r="V8" i="23" s="1"/>
  <c r="V60" i="23" s="1"/>
  <c r="W11" i="8"/>
  <c r="V11" i="23" s="1"/>
  <c r="V63" i="23" s="1"/>
  <c r="W26" i="8"/>
  <c r="V26" i="23" s="1"/>
  <c r="V78" i="23" s="1"/>
  <c r="W6" i="8"/>
  <c r="V6" i="23" s="1"/>
  <c r="V58" i="23" s="1"/>
  <c r="W50" i="8"/>
  <c r="V50" i="23" s="1"/>
  <c r="V102" i="23" s="1"/>
  <c r="W51" i="8"/>
  <c r="V51" i="23" s="1"/>
  <c r="V103" i="23" s="1"/>
  <c r="W19" i="8"/>
  <c r="V19" i="23" s="1"/>
  <c r="V71" i="23" s="1"/>
  <c r="W40" i="8"/>
  <c r="V40" i="23" s="1"/>
  <c r="V92" i="23" s="1"/>
  <c r="W22" i="8"/>
  <c r="V22" i="23" s="1"/>
  <c r="V74" i="23" s="1"/>
  <c r="W36" i="8"/>
  <c r="V36" i="23" s="1"/>
  <c r="V88" i="23" s="1"/>
  <c r="W47" i="8"/>
  <c r="V47" i="23" s="1"/>
  <c r="V99" i="23" s="1"/>
  <c r="W21" i="8"/>
  <c r="V21" i="23" s="1"/>
  <c r="V73" i="23" s="1"/>
  <c r="W37" i="8"/>
  <c r="V37" i="23" s="1"/>
  <c r="V89" i="23" s="1"/>
  <c r="W31" i="8"/>
  <c r="V31" i="23" s="1"/>
  <c r="V83" i="23" s="1"/>
  <c r="W35" i="8"/>
  <c r="V35" i="23" s="1"/>
  <c r="V87" i="23" s="1"/>
  <c r="W17" i="8"/>
  <c r="V17" i="23" s="1"/>
  <c r="V69" i="23" s="1"/>
  <c r="W25" i="8"/>
  <c r="V25" i="23" s="1"/>
  <c r="V77" i="23" s="1"/>
  <c r="W44" i="8"/>
  <c r="V44" i="23" s="1"/>
  <c r="V96" i="23" s="1"/>
  <c r="W33" i="8"/>
  <c r="V33" i="23" s="1"/>
  <c r="V85" i="23" s="1"/>
  <c r="W38" i="8"/>
  <c r="V38" i="23" s="1"/>
  <c r="V90" i="23" s="1"/>
  <c r="W29" i="8"/>
  <c r="V29" i="23" s="1"/>
  <c r="V81" i="23" s="1"/>
  <c r="W43" i="8"/>
  <c r="V43" i="23" s="1"/>
  <c r="V95" i="23" s="1"/>
  <c r="W41" i="8"/>
  <c r="V41" i="23" s="1"/>
  <c r="V93" i="23" s="1"/>
  <c r="W45" i="8"/>
  <c r="V45" i="23" s="1"/>
  <c r="V97" i="23" s="1"/>
  <c r="AH47" i="8"/>
  <c r="AD47" i="23" s="1"/>
  <c r="AD99" i="23" s="1"/>
  <c r="AH11" i="8"/>
  <c r="AD11" i="23" s="1"/>
  <c r="AD63" i="23" s="1"/>
  <c r="AH42" i="8"/>
  <c r="AD42" i="23" s="1"/>
  <c r="AD94" i="23" s="1"/>
  <c r="AH15" i="8"/>
  <c r="AD15" i="23" s="1"/>
  <c r="AD67" i="23" s="1"/>
  <c r="AH20" i="8"/>
  <c r="AD20" i="23" s="1"/>
  <c r="AD72" i="23" s="1"/>
  <c r="AH26" i="8"/>
  <c r="AD26" i="23" s="1"/>
  <c r="AD78" i="23" s="1"/>
  <c r="AH28" i="8"/>
  <c r="AD28" i="23" s="1"/>
  <c r="AD80" i="23" s="1"/>
  <c r="AH41" i="8"/>
  <c r="AD41" i="23" s="1"/>
  <c r="AD93" i="23" s="1"/>
  <c r="AH39" i="8"/>
  <c r="AD39" i="23" s="1"/>
  <c r="AD91" i="23" s="1"/>
  <c r="AH13" i="8"/>
  <c r="AD13" i="23" s="1"/>
  <c r="AD65" i="23" s="1"/>
  <c r="AH49" i="8"/>
  <c r="AD49" i="23" s="1"/>
  <c r="AD101" i="23" s="1"/>
  <c r="AH6" i="8"/>
  <c r="AD6" i="23" s="1"/>
  <c r="AD58" i="23" s="1"/>
  <c r="AH12" i="8"/>
  <c r="AD12" i="23" s="1"/>
  <c r="AD64" i="23" s="1"/>
  <c r="AH18" i="8"/>
  <c r="AD18" i="23" s="1"/>
  <c r="AD70" i="23" s="1"/>
  <c r="AH23" i="8"/>
  <c r="AD23" i="23" s="1"/>
  <c r="AD75" i="23" s="1"/>
  <c r="AH8" i="8"/>
  <c r="AD8" i="23" s="1"/>
  <c r="AD60" i="23" s="1"/>
  <c r="AH51" i="8"/>
  <c r="AD51" i="23" s="1"/>
  <c r="AD103" i="23" s="1"/>
  <c r="AH40" i="8"/>
  <c r="AD40" i="23" s="1"/>
  <c r="AD92" i="23" s="1"/>
  <c r="AH46" i="8"/>
  <c r="AD46" i="23" s="1"/>
  <c r="AD98" i="23" s="1"/>
  <c r="AH48" i="8"/>
  <c r="AD48" i="23" s="1"/>
  <c r="AD100" i="23" s="1"/>
  <c r="AH10" i="8"/>
  <c r="AD10" i="23" s="1"/>
  <c r="AD62" i="23" s="1"/>
  <c r="AH32" i="8"/>
  <c r="AD32" i="23" s="1"/>
  <c r="AD84" i="23" s="1"/>
  <c r="AH37" i="8"/>
  <c r="AD37" i="23" s="1"/>
  <c r="AD89" i="23" s="1"/>
  <c r="AH44" i="8"/>
  <c r="AD44" i="23" s="1"/>
  <c r="AD96" i="23" s="1"/>
  <c r="AH30" i="8"/>
  <c r="AD30" i="23" s="1"/>
  <c r="AD82" i="23" s="1"/>
  <c r="AH25" i="8"/>
  <c r="AD25" i="23" s="1"/>
  <c r="AD77" i="23" s="1"/>
  <c r="AH19" i="8"/>
  <c r="AD19" i="23" s="1"/>
  <c r="AD71" i="23" s="1"/>
  <c r="AH38" i="8"/>
  <c r="AD38" i="23" s="1"/>
  <c r="AD90" i="23" s="1"/>
  <c r="AH29" i="8"/>
  <c r="AD29" i="23" s="1"/>
  <c r="AD81" i="23" s="1"/>
  <c r="AH7" i="8"/>
  <c r="AD7" i="23" s="1"/>
  <c r="AD59" i="23" s="1"/>
  <c r="AH50" i="8"/>
  <c r="AD50" i="23" s="1"/>
  <c r="AD102" i="23" s="1"/>
  <c r="AH22" i="8"/>
  <c r="AD22" i="23" s="1"/>
  <c r="AD74" i="23" s="1"/>
  <c r="AH21" i="8"/>
  <c r="AD21" i="23" s="1"/>
  <c r="AD73" i="23" s="1"/>
  <c r="AH16" i="8"/>
  <c r="AD16" i="23" s="1"/>
  <c r="AD68" i="23" s="1"/>
  <c r="AH5" i="8"/>
  <c r="AH36" i="8"/>
  <c r="AD36" i="23" s="1"/>
  <c r="AD88" i="23" s="1"/>
  <c r="AH9" i="8"/>
  <c r="AD9" i="23" s="1"/>
  <c r="AD61" i="23" s="1"/>
  <c r="AH27" i="8"/>
  <c r="AD27" i="23" s="1"/>
  <c r="AD79" i="23" s="1"/>
  <c r="AH33" i="8"/>
  <c r="AD33" i="23" s="1"/>
  <c r="AD85" i="23" s="1"/>
  <c r="AH31" i="8"/>
  <c r="AD31" i="23" s="1"/>
  <c r="AD83" i="23" s="1"/>
  <c r="AH24" i="8"/>
  <c r="AD24" i="23" s="1"/>
  <c r="AD76" i="23" s="1"/>
  <c r="AH35" i="8"/>
  <c r="AD35" i="23" s="1"/>
  <c r="AD87" i="23" s="1"/>
  <c r="AH43" i="8"/>
  <c r="AD43" i="23" s="1"/>
  <c r="AD95" i="23" s="1"/>
  <c r="AH45" i="8"/>
  <c r="AD45" i="23" s="1"/>
  <c r="AD97" i="23" s="1"/>
  <c r="AH14" i="8"/>
  <c r="AD14" i="23" s="1"/>
  <c r="AD66" i="23" s="1"/>
  <c r="AH17" i="8"/>
  <c r="AD17" i="23" s="1"/>
  <c r="AD69" i="23" s="1"/>
  <c r="AH34" i="8"/>
  <c r="AD34" i="23" s="1"/>
  <c r="AD86" i="23" s="1"/>
  <c r="AE47" i="23"/>
  <c r="AE99" i="23" s="1"/>
  <c r="P20" i="24"/>
  <c r="P62" i="24" s="1"/>
  <c r="R20" i="12"/>
  <c r="O32" i="12"/>
  <c r="O32" i="24" s="1"/>
  <c r="O74" i="24" s="1"/>
  <c r="O32" i="13"/>
  <c r="O13" i="12"/>
  <c r="O13" i="24" s="1"/>
  <c r="O55" i="24" s="1"/>
  <c r="O13" i="13"/>
  <c r="O5" i="12"/>
  <c r="O5" i="13"/>
  <c r="O43" i="11"/>
  <c r="O19" i="12"/>
  <c r="O19" i="13"/>
  <c r="O16" i="12"/>
  <c r="O16" i="13"/>
  <c r="Y29" i="12"/>
  <c r="Y29" i="13"/>
  <c r="Z29" i="13" s="1"/>
  <c r="Z29" i="11"/>
  <c r="Z9" i="11"/>
  <c r="Y9" i="13"/>
  <c r="Z9" i="13" s="1"/>
  <c r="Y9" i="12"/>
  <c r="Z40" i="11"/>
  <c r="Y40" i="12"/>
  <c r="Y40" i="13"/>
  <c r="Z40" i="13" s="1"/>
  <c r="Y28" i="12"/>
  <c r="Z28" i="11"/>
  <c r="Y28" i="13"/>
  <c r="Z28" i="13" s="1"/>
  <c r="AE16" i="23"/>
  <c r="AE68" i="23" s="1"/>
  <c r="AE51" i="23"/>
  <c r="AE103" i="23" s="1"/>
  <c r="AD53" i="7"/>
  <c r="Q43" i="13"/>
  <c r="R5" i="13"/>
  <c r="R43" i="13" s="1"/>
  <c r="AE44" i="23"/>
  <c r="AE96" i="23" s="1"/>
  <c r="P53" i="9"/>
  <c r="P23" i="24"/>
  <c r="P65" i="24" s="1"/>
  <c r="R23" i="12"/>
  <c r="AI30" i="8"/>
  <c r="AE30" i="23" s="1"/>
  <c r="AE82" i="23" s="1"/>
  <c r="Q33" i="8"/>
  <c r="Q33" i="23" s="1"/>
  <c r="Q85" i="23" s="1"/>
  <c r="Q28" i="8"/>
  <c r="Q28" i="23" s="1"/>
  <c r="Q80" i="23" s="1"/>
  <c r="Q41" i="8"/>
  <c r="Q41" i="23" s="1"/>
  <c r="Q93" i="23" s="1"/>
  <c r="Q47" i="8"/>
  <c r="Q47" i="23" s="1"/>
  <c r="Q99" i="23" s="1"/>
  <c r="Q6" i="8"/>
  <c r="Q6" i="23" s="1"/>
  <c r="Q58" i="23" s="1"/>
  <c r="Q11" i="8"/>
  <c r="Q11" i="23" s="1"/>
  <c r="Q63" i="23" s="1"/>
  <c r="Q13" i="8"/>
  <c r="Q13" i="23" s="1"/>
  <c r="Q65" i="23" s="1"/>
  <c r="Q27" i="8"/>
  <c r="Q27" i="23" s="1"/>
  <c r="Q79" i="23" s="1"/>
  <c r="Q45" i="8"/>
  <c r="Q45" i="23" s="1"/>
  <c r="Q97" i="23" s="1"/>
  <c r="Q30" i="8"/>
  <c r="Q30" i="23" s="1"/>
  <c r="Q82" i="23" s="1"/>
  <c r="Q37" i="8"/>
  <c r="Q37" i="23" s="1"/>
  <c r="Q89" i="23" s="1"/>
  <c r="Q36" i="8"/>
  <c r="Q36" i="23" s="1"/>
  <c r="Q88" i="23" s="1"/>
  <c r="Q7" i="8"/>
  <c r="Q7" i="23" s="1"/>
  <c r="Q59" i="23" s="1"/>
  <c r="Q40" i="8"/>
  <c r="Q40" i="23" s="1"/>
  <c r="Q92" i="23" s="1"/>
  <c r="Q16" i="8"/>
  <c r="Q16" i="23" s="1"/>
  <c r="Q68" i="23" s="1"/>
  <c r="Q23" i="8"/>
  <c r="Q23" i="23" s="1"/>
  <c r="Q75" i="23" s="1"/>
  <c r="Q44" i="8"/>
  <c r="Q44" i="23" s="1"/>
  <c r="Q96" i="23" s="1"/>
  <c r="Q43" i="8"/>
  <c r="Q43" i="23" s="1"/>
  <c r="Q95" i="23" s="1"/>
  <c r="Q24" i="8"/>
  <c r="Q24" i="23" s="1"/>
  <c r="Q76" i="23" s="1"/>
  <c r="Q31" i="8"/>
  <c r="Q31" i="23" s="1"/>
  <c r="Q83" i="23" s="1"/>
  <c r="Q8" i="8"/>
  <c r="Q8" i="23" s="1"/>
  <c r="Q60" i="23" s="1"/>
  <c r="Q10" i="8"/>
  <c r="Q10" i="23" s="1"/>
  <c r="Q62" i="23" s="1"/>
  <c r="Q35" i="8"/>
  <c r="Q35" i="23" s="1"/>
  <c r="Q87" i="23" s="1"/>
  <c r="Q42" i="8"/>
  <c r="Q42" i="23" s="1"/>
  <c r="Q94" i="23" s="1"/>
  <c r="Q22" i="8"/>
  <c r="Q22" i="23" s="1"/>
  <c r="Q74" i="23" s="1"/>
  <c r="Q34" i="8"/>
  <c r="Q34" i="23" s="1"/>
  <c r="Q86" i="23" s="1"/>
  <c r="Q38" i="8"/>
  <c r="Q38" i="23" s="1"/>
  <c r="Q90" i="23" s="1"/>
  <c r="Q32" i="8"/>
  <c r="Q32" i="23" s="1"/>
  <c r="Q84" i="23" s="1"/>
  <c r="Q19" i="8"/>
  <c r="Q19" i="23" s="1"/>
  <c r="Q71" i="23" s="1"/>
  <c r="Q25" i="8"/>
  <c r="Q25" i="23" s="1"/>
  <c r="Q77" i="23" s="1"/>
  <c r="Q21" i="8"/>
  <c r="Q21" i="23" s="1"/>
  <c r="Q73" i="23" s="1"/>
  <c r="Q46" i="8"/>
  <c r="Q46" i="23" s="1"/>
  <c r="Q98" i="23" s="1"/>
  <c r="Q15" i="8"/>
  <c r="Q15" i="23" s="1"/>
  <c r="Q67" i="23" s="1"/>
  <c r="Q26" i="8"/>
  <c r="Q26" i="23" s="1"/>
  <c r="Q78" i="23" s="1"/>
  <c r="Q12" i="8"/>
  <c r="Q12" i="23" s="1"/>
  <c r="Q64" i="23" s="1"/>
  <c r="Q51" i="8"/>
  <c r="Q51" i="23" s="1"/>
  <c r="Q103" i="23" s="1"/>
  <c r="Q50" i="8"/>
  <c r="Q50" i="23" s="1"/>
  <c r="Q102" i="23" s="1"/>
  <c r="Q20" i="8"/>
  <c r="Q20" i="23" s="1"/>
  <c r="Q72" i="23" s="1"/>
  <c r="Q5" i="8"/>
  <c r="Q48" i="8"/>
  <c r="Q48" i="23" s="1"/>
  <c r="Q100" i="23" s="1"/>
  <c r="Q17" i="8"/>
  <c r="Q17" i="23" s="1"/>
  <c r="Q69" i="23" s="1"/>
  <c r="Q49" i="8"/>
  <c r="Q49" i="23" s="1"/>
  <c r="Q101" i="23" s="1"/>
  <c r="Q29" i="8"/>
  <c r="Q29" i="23" s="1"/>
  <c r="Q81" i="23" s="1"/>
  <c r="Q39" i="8"/>
  <c r="Q39" i="23" s="1"/>
  <c r="Q91" i="23" s="1"/>
  <c r="Q18" i="8"/>
  <c r="Q18" i="23" s="1"/>
  <c r="Q70" i="23" s="1"/>
  <c r="Q9" i="8"/>
  <c r="Q9" i="23" s="1"/>
  <c r="Q61" i="23" s="1"/>
  <c r="Q14" i="8"/>
  <c r="Q14" i="23" s="1"/>
  <c r="Q66" i="23" s="1"/>
  <c r="V24" i="11"/>
  <c r="S24" i="12"/>
  <c r="S24" i="13"/>
  <c r="V24" i="13" s="1"/>
  <c r="V7" i="11"/>
  <c r="S7" i="12"/>
  <c r="S7" i="13"/>
  <c r="V7" i="13" s="1"/>
  <c r="S36" i="13"/>
  <c r="V36" i="13" s="1"/>
  <c r="V36" i="11"/>
  <c r="S36" i="12"/>
  <c r="S21" i="12"/>
  <c r="S21" i="13"/>
  <c r="V21" i="13" s="1"/>
  <c r="V21" i="11"/>
  <c r="AB38" i="7"/>
  <c r="V38" i="9"/>
  <c r="AB37" i="7"/>
  <c r="V37" i="9"/>
  <c r="V47" i="9"/>
  <c r="AB47" i="7"/>
  <c r="V13" i="9"/>
  <c r="V30" i="9"/>
  <c r="W13" i="8"/>
  <c r="V13" i="23" s="1"/>
  <c r="V65" i="23" s="1"/>
  <c r="P15" i="24"/>
  <c r="P57" i="24" s="1"/>
  <c r="R15" i="12"/>
  <c r="R26" i="12"/>
  <c r="P26" i="24"/>
  <c r="P68" i="24" s="1"/>
  <c r="O30" i="12"/>
  <c r="O30" i="13"/>
  <c r="O23" i="12"/>
  <c r="O23" i="13"/>
  <c r="O36" i="12"/>
  <c r="O36" i="13"/>
  <c r="O12" i="12"/>
  <c r="O12" i="13"/>
  <c r="O6" i="13"/>
  <c r="O6" i="12"/>
  <c r="O6" i="24" s="1"/>
  <c r="O48" i="24" s="1"/>
  <c r="Y8" i="12"/>
  <c r="Z8" i="11"/>
  <c r="Y8" i="13"/>
  <c r="Z8" i="13" s="1"/>
  <c r="Y15" i="13"/>
  <c r="Z15" i="13" s="1"/>
  <c r="Z15" i="11"/>
  <c r="Y15" i="12"/>
  <c r="Y16" i="12"/>
  <c r="Z16" i="11"/>
  <c r="Y16" i="13"/>
  <c r="Z16" i="13" s="1"/>
  <c r="Y43" i="11"/>
  <c r="Y5" i="13"/>
  <c r="Z5" i="11"/>
  <c r="Y5" i="12"/>
  <c r="R11" i="12"/>
  <c r="P11" i="24"/>
  <c r="P53" i="24" s="1"/>
  <c r="R29" i="12"/>
  <c r="P29" i="24"/>
  <c r="P71" i="24" s="1"/>
  <c r="AD5" i="9"/>
  <c r="AD53" i="9" s="1"/>
  <c r="AC53" i="9"/>
  <c r="P32" i="8"/>
  <c r="P32" i="23" s="1"/>
  <c r="P84" i="23" s="1"/>
  <c r="P8" i="8"/>
  <c r="P8" i="23" s="1"/>
  <c r="P60" i="23" s="1"/>
  <c r="P36" i="8"/>
  <c r="P36" i="23" s="1"/>
  <c r="P88" i="23" s="1"/>
  <c r="P19" i="8"/>
  <c r="P19" i="23" s="1"/>
  <c r="P71" i="23" s="1"/>
  <c r="P38" i="8"/>
  <c r="P38" i="23" s="1"/>
  <c r="P90" i="23" s="1"/>
  <c r="P13" i="8"/>
  <c r="P13" i="23" s="1"/>
  <c r="P65" i="23" s="1"/>
  <c r="P42" i="8"/>
  <c r="P42" i="23" s="1"/>
  <c r="P94" i="23" s="1"/>
  <c r="P34" i="8"/>
  <c r="P34" i="23" s="1"/>
  <c r="P86" i="23" s="1"/>
  <c r="P31" i="8"/>
  <c r="P31" i="23" s="1"/>
  <c r="P83" i="23" s="1"/>
  <c r="P41" i="8"/>
  <c r="P41" i="23" s="1"/>
  <c r="P93" i="23" s="1"/>
  <c r="P33" i="8"/>
  <c r="P33" i="23" s="1"/>
  <c r="P85" i="23" s="1"/>
  <c r="P46" i="8"/>
  <c r="P46" i="23" s="1"/>
  <c r="P98" i="23" s="1"/>
  <c r="P22" i="8"/>
  <c r="P10" i="8"/>
  <c r="P10" i="23" s="1"/>
  <c r="P62" i="23" s="1"/>
  <c r="P27" i="8"/>
  <c r="P6" i="8"/>
  <c r="P6" i="23" s="1"/>
  <c r="P58" i="23" s="1"/>
  <c r="P18" i="8"/>
  <c r="P18" i="23" s="1"/>
  <c r="P70" i="23" s="1"/>
  <c r="P43" i="8"/>
  <c r="P43" i="23" s="1"/>
  <c r="P95" i="23" s="1"/>
  <c r="P9" i="8"/>
  <c r="P9" i="23" s="1"/>
  <c r="P61" i="23" s="1"/>
  <c r="P30" i="8"/>
  <c r="P30" i="23" s="1"/>
  <c r="P82" i="23" s="1"/>
  <c r="P24" i="8"/>
  <c r="P51" i="8"/>
  <c r="P51" i="23" s="1"/>
  <c r="P103" i="23" s="1"/>
  <c r="P14" i="8"/>
  <c r="P14" i="23" s="1"/>
  <c r="P66" i="23" s="1"/>
  <c r="P37" i="8"/>
  <c r="P37" i="23" s="1"/>
  <c r="P89" i="23" s="1"/>
  <c r="P50" i="8"/>
  <c r="P50" i="23" s="1"/>
  <c r="P102" i="23" s="1"/>
  <c r="P17" i="8"/>
  <c r="P17" i="23" s="1"/>
  <c r="P69" i="23" s="1"/>
  <c r="P16" i="8"/>
  <c r="P16" i="23" s="1"/>
  <c r="P68" i="23" s="1"/>
  <c r="P26" i="8"/>
  <c r="P45" i="8"/>
  <c r="P45" i="23" s="1"/>
  <c r="P97" i="23" s="1"/>
  <c r="P35" i="8"/>
  <c r="P35" i="23" s="1"/>
  <c r="P87" i="23" s="1"/>
  <c r="P23" i="8"/>
  <c r="P47" i="8"/>
  <c r="P47" i="23" s="1"/>
  <c r="P99" i="23" s="1"/>
  <c r="P48" i="8"/>
  <c r="P48" i="23" s="1"/>
  <c r="P100" i="23" s="1"/>
  <c r="P25" i="8"/>
  <c r="P25" i="23" s="1"/>
  <c r="P77" i="23" s="1"/>
  <c r="P40" i="8"/>
  <c r="P40" i="23" s="1"/>
  <c r="P92" i="23" s="1"/>
  <c r="P5" i="8"/>
  <c r="P7" i="8"/>
  <c r="P7" i="23" s="1"/>
  <c r="P59" i="23" s="1"/>
  <c r="P15" i="8"/>
  <c r="P15" i="23" s="1"/>
  <c r="P67" i="23" s="1"/>
  <c r="P29" i="8"/>
  <c r="P11" i="8"/>
  <c r="P11" i="23" s="1"/>
  <c r="P63" i="23" s="1"/>
  <c r="P20" i="8"/>
  <c r="P20" i="23" s="1"/>
  <c r="P72" i="23" s="1"/>
  <c r="P21" i="8"/>
  <c r="P28" i="8"/>
  <c r="P49" i="8"/>
  <c r="P49" i="23" s="1"/>
  <c r="P101" i="23" s="1"/>
  <c r="P44" i="8"/>
  <c r="P44" i="23" s="1"/>
  <c r="P96" i="23" s="1"/>
  <c r="O9" i="25"/>
  <c r="O11" i="25"/>
  <c r="O7" i="25"/>
  <c r="O13" i="25" s="1"/>
  <c r="V33" i="11"/>
  <c r="S33" i="13"/>
  <c r="V33" i="13" s="1"/>
  <c r="S33" i="12"/>
  <c r="V29" i="11"/>
  <c r="S29" i="12"/>
  <c r="S29" i="13"/>
  <c r="V29" i="13" s="1"/>
  <c r="V27" i="11"/>
  <c r="S27" i="12"/>
  <c r="S27" i="13"/>
  <c r="V27" i="13" s="1"/>
  <c r="S5" i="12"/>
  <c r="V5" i="11"/>
  <c r="S5" i="13"/>
  <c r="S43" i="11"/>
  <c r="R31" i="12"/>
  <c r="P31" i="24"/>
  <c r="P73" i="24" s="1"/>
  <c r="R6" i="12"/>
  <c r="P6" i="24"/>
  <c r="P48" i="24" s="1"/>
  <c r="P39" i="8"/>
  <c r="P39" i="23" s="1"/>
  <c r="P91" i="23" s="1"/>
  <c r="R32" i="12"/>
  <c r="P32" i="24"/>
  <c r="P74" i="24" s="1"/>
  <c r="AB16" i="7"/>
  <c r="V16" i="9"/>
  <c r="V25" i="9"/>
  <c r="AB36" i="7"/>
  <c r="V36" i="9"/>
  <c r="V12" i="9"/>
  <c r="AB18" i="7"/>
  <c r="V18" i="9"/>
  <c r="V31" i="9"/>
  <c r="AB31" i="7"/>
  <c r="AB12" i="7"/>
  <c r="W18" i="8"/>
  <c r="V18" i="23" s="1"/>
  <c r="V70" i="23" s="1"/>
  <c r="AA9" i="23"/>
  <c r="AA61" i="23" s="1"/>
  <c r="AD9" i="8"/>
  <c r="O17" i="12"/>
  <c r="O17" i="24" s="1"/>
  <c r="O59" i="24" s="1"/>
  <c r="O17" i="13"/>
  <c r="O9" i="13"/>
  <c r="O9" i="12"/>
  <c r="O29" i="13"/>
  <c r="O29" i="12"/>
  <c r="O25" i="13"/>
  <c r="O25" i="12"/>
  <c r="Z37" i="11"/>
  <c r="Y37" i="12"/>
  <c r="Y37" i="13"/>
  <c r="Z37" i="13" s="1"/>
  <c r="Y19" i="12"/>
  <c r="Z19" i="11"/>
  <c r="Y19" i="13"/>
  <c r="Z19" i="13" s="1"/>
  <c r="Z39" i="11"/>
  <c r="Y39" i="13"/>
  <c r="Z39" i="13" s="1"/>
  <c r="Y39" i="12"/>
  <c r="Y36" i="12"/>
  <c r="Z36" i="11"/>
  <c r="Y36" i="13"/>
  <c r="Z36" i="13" s="1"/>
  <c r="Z31" i="11"/>
  <c r="Y31" i="12"/>
  <c r="Y31" i="13"/>
  <c r="Z31" i="13" s="1"/>
  <c r="L41" i="8"/>
  <c r="L41" i="23" s="1"/>
  <c r="L93" i="23" s="1"/>
  <c r="R16" i="12"/>
  <c r="P16" i="24"/>
  <c r="P58" i="24" s="1"/>
  <c r="AC40" i="8"/>
  <c r="AC46" i="8"/>
  <c r="AC16" i="8"/>
  <c r="AC28" i="8"/>
  <c r="AC15" i="8"/>
  <c r="AC23" i="8"/>
  <c r="AC25" i="8"/>
  <c r="AC48" i="8"/>
  <c r="AC44" i="8"/>
  <c r="AC24" i="8"/>
  <c r="AC45" i="8"/>
  <c r="AC19" i="8"/>
  <c r="AC13" i="8"/>
  <c r="AC17" i="8"/>
  <c r="AC36" i="8"/>
  <c r="AC33" i="8"/>
  <c r="AC34" i="8"/>
  <c r="AC27" i="8"/>
  <c r="AC7" i="8"/>
  <c r="AC21" i="8"/>
  <c r="AC39" i="8"/>
  <c r="AC32" i="8"/>
  <c r="AC6" i="8"/>
  <c r="AC41" i="8"/>
  <c r="AC43" i="8"/>
  <c r="AC20" i="8"/>
  <c r="AC29" i="8"/>
  <c r="AC38" i="8"/>
  <c r="AC8" i="8"/>
  <c r="AC31" i="8"/>
  <c r="AC18" i="8"/>
  <c r="AC12" i="8"/>
  <c r="AC51" i="8"/>
  <c r="AC14" i="8"/>
  <c r="AC5" i="8"/>
  <c r="AC22" i="8"/>
  <c r="AC47" i="8"/>
  <c r="AC42" i="8"/>
  <c r="AC49" i="8"/>
  <c r="AC10" i="8"/>
  <c r="R10" i="12"/>
  <c r="P10" i="24"/>
  <c r="P52" i="24" s="1"/>
  <c r="R43" i="11"/>
  <c r="R12" i="12"/>
  <c r="P12" i="24"/>
  <c r="P54" i="24" s="1"/>
  <c r="R37" i="12"/>
  <c r="P37" i="24"/>
  <c r="P79" i="24" s="1"/>
  <c r="AI36" i="8"/>
  <c r="AE36" i="23" s="1"/>
  <c r="AE88" i="23" s="1"/>
  <c r="V35" i="11"/>
  <c r="S35" i="12"/>
  <c r="S35" i="13"/>
  <c r="V35" i="13" s="1"/>
  <c r="S6" i="12"/>
  <c r="V6" i="11"/>
  <c r="S6" i="13"/>
  <c r="V6" i="13" s="1"/>
  <c r="S14" i="12"/>
  <c r="S14" i="13"/>
  <c r="V14" i="13" s="1"/>
  <c r="V14" i="11"/>
  <c r="S17" i="12"/>
  <c r="V17" i="11"/>
  <c r="S17" i="13"/>
  <c r="V17" i="13" s="1"/>
  <c r="V13" i="11"/>
  <c r="S13" i="13"/>
  <c r="V13" i="13" s="1"/>
  <c r="S13" i="12"/>
  <c r="AC50" i="8"/>
  <c r="AI38" i="8"/>
  <c r="AE38" i="23" s="1"/>
  <c r="AE90" i="23" s="1"/>
  <c r="V7" i="9"/>
  <c r="AB7" i="7"/>
  <c r="V23" i="9"/>
  <c r="AB23" i="7"/>
  <c r="V44" i="9"/>
  <c r="V5" i="9"/>
  <c r="V53" i="7"/>
  <c r="V58" i="7" s="1"/>
  <c r="V22" i="8" s="1"/>
  <c r="V26" i="9"/>
  <c r="V26" i="8"/>
  <c r="U26" i="23" s="1"/>
  <c r="U78" i="23" s="1"/>
  <c r="V24" i="9"/>
  <c r="AB24" i="7"/>
  <c r="R18" i="12"/>
  <c r="P18" i="24"/>
  <c r="P60" i="24" s="1"/>
  <c r="X25" i="8"/>
  <c r="W25" i="23" s="1"/>
  <c r="W77" i="23" s="1"/>
  <c r="X22" i="8"/>
  <c r="W22" i="23" s="1"/>
  <c r="W74" i="23" s="1"/>
  <c r="X49" i="8"/>
  <c r="W49" i="23" s="1"/>
  <c r="W101" i="23" s="1"/>
  <c r="X7" i="8"/>
  <c r="W7" i="23" s="1"/>
  <c r="W59" i="23" s="1"/>
  <c r="X27" i="8"/>
  <c r="W27" i="23" s="1"/>
  <c r="W79" i="23" s="1"/>
  <c r="X19" i="8"/>
  <c r="W19" i="23" s="1"/>
  <c r="W71" i="23" s="1"/>
  <c r="X51" i="8"/>
  <c r="W51" i="23" s="1"/>
  <c r="W103" i="23" s="1"/>
  <c r="X28" i="8"/>
  <c r="W28" i="23" s="1"/>
  <c r="W80" i="23" s="1"/>
  <c r="X24" i="8"/>
  <c r="W24" i="23" s="1"/>
  <c r="W76" i="23" s="1"/>
  <c r="X18" i="8"/>
  <c r="W18" i="23" s="1"/>
  <c r="W70" i="23" s="1"/>
  <c r="X30" i="8"/>
  <c r="W30" i="23" s="1"/>
  <c r="W82" i="23" s="1"/>
  <c r="X41" i="8"/>
  <c r="W41" i="23" s="1"/>
  <c r="W93" i="23" s="1"/>
  <c r="X17" i="8"/>
  <c r="W17" i="23" s="1"/>
  <c r="W69" i="23" s="1"/>
  <c r="X39" i="8"/>
  <c r="W39" i="23" s="1"/>
  <c r="W91" i="23" s="1"/>
  <c r="X35" i="8"/>
  <c r="W35" i="23" s="1"/>
  <c r="W87" i="23" s="1"/>
  <c r="X46" i="8"/>
  <c r="W46" i="23" s="1"/>
  <c r="W98" i="23" s="1"/>
  <c r="X37" i="8"/>
  <c r="W37" i="23" s="1"/>
  <c r="W89" i="23" s="1"/>
  <c r="X29" i="8"/>
  <c r="W29" i="23" s="1"/>
  <c r="W81" i="23" s="1"/>
  <c r="X48" i="8"/>
  <c r="W48" i="23" s="1"/>
  <c r="W100" i="23" s="1"/>
  <c r="X23" i="8"/>
  <c r="W23" i="23" s="1"/>
  <c r="W75" i="23" s="1"/>
  <c r="X38" i="8"/>
  <c r="W38" i="23" s="1"/>
  <c r="W90" i="23" s="1"/>
  <c r="X45" i="8"/>
  <c r="W45" i="23" s="1"/>
  <c r="W97" i="23" s="1"/>
  <c r="X10" i="8"/>
  <c r="W10" i="23" s="1"/>
  <c r="W62" i="23" s="1"/>
  <c r="X8" i="8"/>
  <c r="W8" i="23" s="1"/>
  <c r="W60" i="23" s="1"/>
  <c r="X36" i="8"/>
  <c r="W36" i="23" s="1"/>
  <c r="W88" i="23" s="1"/>
  <c r="X15" i="8"/>
  <c r="W15" i="23" s="1"/>
  <c r="W67" i="23" s="1"/>
  <c r="X26" i="8"/>
  <c r="W26" i="23" s="1"/>
  <c r="W78" i="23" s="1"/>
  <c r="X14" i="8"/>
  <c r="W14" i="23" s="1"/>
  <c r="W66" i="23" s="1"/>
  <c r="X21" i="8"/>
  <c r="W21" i="23" s="1"/>
  <c r="W73" i="23" s="1"/>
  <c r="X33" i="8"/>
  <c r="W33" i="23" s="1"/>
  <c r="W85" i="23" s="1"/>
  <c r="X11" i="8"/>
  <c r="W11" i="23" s="1"/>
  <c r="W63" i="23" s="1"/>
  <c r="X50" i="8"/>
  <c r="W50" i="23" s="1"/>
  <c r="W102" i="23" s="1"/>
  <c r="X44" i="8"/>
  <c r="W44" i="23" s="1"/>
  <c r="W96" i="23" s="1"/>
  <c r="X12" i="8"/>
  <c r="W12" i="23" s="1"/>
  <c r="W64" i="23" s="1"/>
  <c r="X31" i="8"/>
  <c r="W31" i="23" s="1"/>
  <c r="W83" i="23" s="1"/>
  <c r="X42" i="8"/>
  <c r="W42" i="23" s="1"/>
  <c r="W94" i="23" s="1"/>
  <c r="X34" i="8"/>
  <c r="W34" i="23" s="1"/>
  <c r="W86" i="23" s="1"/>
  <c r="X5" i="8"/>
  <c r="X32" i="8"/>
  <c r="W32" i="23" s="1"/>
  <c r="W84" i="23" s="1"/>
  <c r="X6" i="8"/>
  <c r="W6" i="23" s="1"/>
  <c r="W58" i="23" s="1"/>
  <c r="X9" i="8"/>
  <c r="W9" i="23" s="1"/>
  <c r="W61" i="23" s="1"/>
  <c r="X13" i="8"/>
  <c r="W13" i="23" s="1"/>
  <c r="W65" i="23" s="1"/>
  <c r="X43" i="8"/>
  <c r="W43" i="23" s="1"/>
  <c r="W95" i="23" s="1"/>
  <c r="X40" i="8"/>
  <c r="W40" i="23" s="1"/>
  <c r="W92" i="23" s="1"/>
  <c r="X16" i="8"/>
  <c r="W16" i="23" s="1"/>
  <c r="W68" i="23" s="1"/>
  <c r="P7" i="24"/>
  <c r="P49" i="24" s="1"/>
  <c r="R7" i="12"/>
  <c r="R21" i="12"/>
  <c r="P21" i="24"/>
  <c r="P63" i="24" s="1"/>
  <c r="O38" i="12"/>
  <c r="O38" i="24" s="1"/>
  <c r="O80" i="24" s="1"/>
  <c r="O38" i="13"/>
  <c r="O31" i="12"/>
  <c r="O31" i="24" s="1"/>
  <c r="O73" i="24" s="1"/>
  <c r="O31" i="13"/>
  <c r="O10" i="12"/>
  <c r="O10" i="24" s="1"/>
  <c r="O52" i="24" s="1"/>
  <c r="O10" i="13"/>
  <c r="O35" i="12"/>
  <c r="O35" i="24" s="1"/>
  <c r="O77" i="24" s="1"/>
  <c r="O35" i="13"/>
  <c r="Z23" i="11"/>
  <c r="Y23" i="12"/>
  <c r="Y23" i="13"/>
  <c r="Z23" i="13" s="1"/>
  <c r="Y6" i="12"/>
  <c r="Z6" i="11"/>
  <c r="Y6" i="13"/>
  <c r="Z6" i="13" s="1"/>
  <c r="Y11" i="13"/>
  <c r="Z11" i="13" s="1"/>
  <c r="Z11" i="11"/>
  <c r="Y11" i="12"/>
  <c r="Y26" i="12"/>
  <c r="Y26" i="13"/>
  <c r="Z26" i="13" s="1"/>
  <c r="Z26" i="11"/>
  <c r="Y20" i="12"/>
  <c r="Z20" i="11"/>
  <c r="Y20" i="13"/>
  <c r="Z20" i="13" s="1"/>
  <c r="R8" i="12"/>
  <c r="P8" i="24"/>
  <c r="P50" i="24" s="1"/>
  <c r="S58" i="7"/>
  <c r="R58" i="7"/>
  <c r="X20" i="8"/>
  <c r="W20" i="23" s="1"/>
  <c r="W72" i="23" s="1"/>
  <c r="S18" i="13"/>
  <c r="V18" i="13" s="1"/>
  <c r="V18" i="11"/>
  <c r="S18" i="12"/>
  <c r="S11" i="13"/>
  <c r="V11" i="13" s="1"/>
  <c r="S11" i="12"/>
  <c r="V11" i="11"/>
  <c r="S10" i="13"/>
  <c r="V10" i="13" s="1"/>
  <c r="S10" i="12"/>
  <c r="V10" i="11"/>
  <c r="S20" i="13"/>
  <c r="V20" i="13" s="1"/>
  <c r="V20" i="11"/>
  <c r="S20" i="12"/>
  <c r="V34" i="11"/>
  <c r="S34" i="12"/>
  <c r="S34" i="13"/>
  <c r="V34" i="13" s="1"/>
  <c r="P40" i="24"/>
  <c r="P82" i="24" s="1"/>
  <c r="R40" i="12"/>
  <c r="R38" i="12"/>
  <c r="P38" i="24"/>
  <c r="P80" i="24" s="1"/>
  <c r="R17" i="12"/>
  <c r="P17" i="24"/>
  <c r="P59" i="24" s="1"/>
  <c r="R28" i="12"/>
  <c r="P28" i="24"/>
  <c r="P70" i="24" s="1"/>
  <c r="AB40" i="7"/>
  <c r="V40" i="8"/>
  <c r="U40" i="23" s="1"/>
  <c r="U92" i="23" s="1"/>
  <c r="V40" i="9"/>
  <c r="AB32" i="7"/>
  <c r="V32" i="9"/>
  <c r="V32" i="8"/>
  <c r="U32" i="23" s="1"/>
  <c r="U84" i="23" s="1"/>
  <c r="V8" i="9"/>
  <c r="AB8" i="7"/>
  <c r="V10" i="9"/>
  <c r="AB27" i="7"/>
  <c r="V27" i="9"/>
  <c r="V29" i="9"/>
  <c r="AB29" i="7"/>
  <c r="P29" i="11"/>
  <c r="AA29" i="11" s="1"/>
  <c r="L29" i="12"/>
  <c r="L29" i="13"/>
  <c r="P34" i="11"/>
  <c r="AA34" i="11" s="1"/>
  <c r="L34" i="12"/>
  <c r="L34" i="13"/>
  <c r="P34" i="13" s="1"/>
  <c r="P21" i="11"/>
  <c r="AA21" i="11" s="1"/>
  <c r="L21" i="12"/>
  <c r="L21" i="13"/>
  <c r="P21" i="13" s="1"/>
  <c r="L38" i="12"/>
  <c r="P38" i="11"/>
  <c r="AA38" i="11" s="1"/>
  <c r="L38" i="13"/>
  <c r="P38" i="13" s="1"/>
  <c r="L15" i="13"/>
  <c r="P15" i="13" s="1"/>
  <c r="P15" i="11"/>
  <c r="AA15" i="11" s="1"/>
  <c r="L15" i="12"/>
  <c r="P41" i="11"/>
  <c r="AA41" i="11" s="1"/>
  <c r="L41" i="12"/>
  <c r="L41" i="13"/>
  <c r="P41" i="13" s="1"/>
  <c r="L26" i="12"/>
  <c r="P26" i="11"/>
  <c r="AA26" i="11" s="1"/>
  <c r="L26" i="13"/>
  <c r="P26" i="13" s="1"/>
  <c r="L11" i="13"/>
  <c r="P11" i="13" s="1"/>
  <c r="L11" i="12"/>
  <c r="P11" i="11"/>
  <c r="AA11" i="11" s="1"/>
  <c r="L12" i="12"/>
  <c r="P12" i="12" s="1"/>
  <c r="P12" i="11"/>
  <c r="AA12" i="11" s="1"/>
  <c r="W12" i="13" s="1"/>
  <c r="L12" i="13"/>
  <c r="P12" i="13" s="1"/>
  <c r="P37" i="11"/>
  <c r="AA37" i="11" s="1"/>
  <c r="L37" i="12"/>
  <c r="L37" i="13"/>
  <c r="P37" i="13" s="1"/>
  <c r="L18" i="12"/>
  <c r="P18" i="12" s="1"/>
  <c r="P18" i="11"/>
  <c r="AA18" i="11" s="1"/>
  <c r="W18" i="13" s="1"/>
  <c r="L18" i="13"/>
  <c r="P18" i="13" s="1"/>
  <c r="L10" i="12"/>
  <c r="P10" i="11"/>
  <c r="L10" i="13"/>
  <c r="P10" i="13" s="1"/>
  <c r="H11" i="26"/>
  <c r="L25" i="12"/>
  <c r="L25" i="13"/>
  <c r="P25" i="13" s="1"/>
  <c r="P25" i="11"/>
  <c r="AA25" i="11" s="1"/>
  <c r="L24" i="12"/>
  <c r="P24" i="11"/>
  <c r="AA24" i="11" s="1"/>
  <c r="L24" i="13"/>
  <c r="P24" i="13" s="1"/>
  <c r="P28" i="11"/>
  <c r="AA28" i="11" s="1"/>
  <c r="L28" i="12"/>
  <c r="L28" i="13"/>
  <c r="P28" i="13" s="1"/>
  <c r="P36" i="11"/>
  <c r="AA36" i="11" s="1"/>
  <c r="L36" i="13"/>
  <c r="P36" i="13" s="1"/>
  <c r="L36" i="12"/>
  <c r="L39" i="12"/>
  <c r="L39" i="13"/>
  <c r="P39" i="13" s="1"/>
  <c r="P39" i="11"/>
  <c r="AA39" i="11" s="1"/>
  <c r="P6" i="11"/>
  <c r="L6" i="12"/>
  <c r="L6" i="13"/>
  <c r="P6" i="13" s="1"/>
  <c r="L30" i="13"/>
  <c r="P30" i="13" s="1"/>
  <c r="P30" i="11"/>
  <c r="AA30" i="11" s="1"/>
  <c r="L30" i="12"/>
  <c r="P7" i="11"/>
  <c r="AA7" i="11" s="1"/>
  <c r="L7" i="12"/>
  <c r="L7" i="13"/>
  <c r="P7" i="13" s="1"/>
  <c r="L31" i="12"/>
  <c r="L31" i="13"/>
  <c r="P31" i="13" s="1"/>
  <c r="P31" i="11"/>
  <c r="AA31" i="11" s="1"/>
  <c r="W31" i="13" s="1"/>
  <c r="P35" i="11"/>
  <c r="AA35" i="11" s="1"/>
  <c r="L35" i="12"/>
  <c r="L35" i="13"/>
  <c r="P35" i="13" s="1"/>
  <c r="L20" i="12"/>
  <c r="L20" i="13"/>
  <c r="P20" i="13" s="1"/>
  <c r="P20" i="11"/>
  <c r="AA20" i="11" s="1"/>
  <c r="P13" i="11"/>
  <c r="AA13" i="11" s="1"/>
  <c r="L13" i="12"/>
  <c r="L13" i="13"/>
  <c r="P13" i="13" s="1"/>
  <c r="P23" i="11"/>
  <c r="AA23" i="11" s="1"/>
  <c r="L23" i="12"/>
  <c r="L23" i="13"/>
  <c r="P23" i="13" s="1"/>
  <c r="P5" i="11"/>
  <c r="L43" i="11"/>
  <c r="L5" i="12"/>
  <c r="L5" i="13"/>
  <c r="P17" i="11"/>
  <c r="L17" i="13"/>
  <c r="P17" i="13" s="1"/>
  <c r="L17" i="12"/>
  <c r="H7" i="26"/>
  <c r="H13" i="26" s="1"/>
  <c r="D7" i="26"/>
  <c r="D13" i="26" s="1"/>
  <c r="L27" i="12"/>
  <c r="P27" i="11"/>
  <c r="AA27" i="11" s="1"/>
  <c r="L27" i="13"/>
  <c r="P27" i="13" s="1"/>
  <c r="P40" i="11"/>
  <c r="AA40" i="11" s="1"/>
  <c r="L40" i="12"/>
  <c r="L40" i="13"/>
  <c r="P40" i="13" s="1"/>
  <c r="P32" i="11"/>
  <c r="AA32" i="11" s="1"/>
  <c r="L32" i="12"/>
  <c r="L32" i="13"/>
  <c r="P32" i="13" s="1"/>
  <c r="L16" i="12"/>
  <c r="P16" i="11"/>
  <c r="AA16" i="11" s="1"/>
  <c r="L16" i="13"/>
  <c r="P16" i="13" s="1"/>
  <c r="P19" i="11"/>
  <c r="AA19" i="11" s="1"/>
  <c r="L19" i="13"/>
  <c r="P19" i="13" s="1"/>
  <c r="L19" i="12"/>
  <c r="P22" i="11"/>
  <c r="AA22" i="11" s="1"/>
  <c r="L22" i="12"/>
  <c r="L22" i="13"/>
  <c r="P22" i="13" s="1"/>
  <c r="L9" i="12"/>
  <c r="P9" i="11"/>
  <c r="AA9" i="11" s="1"/>
  <c r="L9" i="13"/>
  <c r="P9" i="13" s="1"/>
  <c r="P33" i="11"/>
  <c r="AA33" i="11" s="1"/>
  <c r="W33" i="13" s="1"/>
  <c r="X33" i="13" s="1"/>
  <c r="AA33" i="13" s="1"/>
  <c r="L33" i="12"/>
  <c r="L33" i="13"/>
  <c r="P33" i="13" s="1"/>
  <c r="P14" i="11"/>
  <c r="AA14" i="11" s="1"/>
  <c r="W14" i="13" s="1"/>
  <c r="L14" i="12"/>
  <c r="L14" i="13"/>
  <c r="P14" i="13" s="1"/>
  <c r="P8" i="11"/>
  <c r="AA8" i="11" s="1"/>
  <c r="L8" i="12"/>
  <c r="L8" i="13"/>
  <c r="P8" i="13" s="1"/>
  <c r="C7" i="26"/>
  <c r="C13" i="26" s="1"/>
  <c r="W35" i="13"/>
  <c r="X35" i="13" s="1"/>
  <c r="W26" i="13"/>
  <c r="X26" i="13" s="1"/>
  <c r="AA26" i="13" s="1"/>
  <c r="S19" i="28" s="1"/>
  <c r="I7" i="26"/>
  <c r="I13" i="26" s="1"/>
  <c r="I11" i="26"/>
  <c r="D15" i="26"/>
  <c r="D14" i="26"/>
  <c r="H15" i="26"/>
  <c r="H14" i="26"/>
  <c r="I15" i="26"/>
  <c r="I14" i="26"/>
  <c r="C15" i="26"/>
  <c r="C14" i="26"/>
  <c r="X14" i="13"/>
  <c r="AA14" i="13" s="1"/>
  <c r="X12" i="13"/>
  <c r="AA12" i="13" s="1"/>
  <c r="X31" i="13"/>
  <c r="AA31" i="13" s="1"/>
  <c r="W20" i="13"/>
  <c r="W24" i="13"/>
  <c r="W13" i="13"/>
  <c r="W22" i="13"/>
  <c r="W39" i="13"/>
  <c r="W8" i="13"/>
  <c r="E42" i="5"/>
  <c r="W45" i="13"/>
  <c r="W45" i="12"/>
  <c r="W45" i="10"/>
  <c r="W45" i="11"/>
  <c r="W48" i="11" s="1"/>
  <c r="W32" i="13"/>
  <c r="W7" i="13"/>
  <c r="W9" i="13"/>
  <c r="AM58" i="6"/>
  <c r="AM56" i="9"/>
  <c r="AM56" i="7"/>
  <c r="AM56" i="8"/>
  <c r="W16" i="13"/>
  <c r="W23" i="13"/>
  <c r="W19" i="13"/>
  <c r="AE55" i="9"/>
  <c r="AE55" i="7"/>
  <c r="AE55" i="8"/>
  <c r="AO54" i="8" s="1"/>
  <c r="W29" i="13"/>
  <c r="W37" i="13"/>
  <c r="W27" i="13"/>
  <c r="W30" i="13"/>
  <c r="W21" i="13"/>
  <c r="W25" i="13"/>
  <c r="W15" i="13"/>
  <c r="W34" i="13"/>
  <c r="AA46" i="12"/>
  <c r="AA46" i="13"/>
  <c r="AA46" i="10"/>
  <c r="AA46" i="11"/>
  <c r="E23" i="5"/>
  <c r="E46" i="5" s="1"/>
  <c r="AE57" i="6"/>
  <c r="U22" i="23" l="1"/>
  <c r="U74" i="23" s="1"/>
  <c r="W19" i="12"/>
  <c r="X19" i="12" s="1"/>
  <c r="AA6" i="11"/>
  <c r="L18" i="24"/>
  <c r="L60" i="24" s="1"/>
  <c r="Q34" i="24"/>
  <c r="Q76" i="24" s="1"/>
  <c r="V34" i="12"/>
  <c r="S44" i="8"/>
  <c r="S11" i="8"/>
  <c r="S37" i="8"/>
  <c r="S5" i="8"/>
  <c r="S8" i="8"/>
  <c r="S17" i="8"/>
  <c r="S48" i="8"/>
  <c r="S10" i="8"/>
  <c r="S23" i="8"/>
  <c r="S40" i="8"/>
  <c r="S12" i="8"/>
  <c r="S35" i="8"/>
  <c r="S49" i="8"/>
  <c r="S33" i="8"/>
  <c r="S29" i="8"/>
  <c r="S18" i="8"/>
  <c r="S50" i="8"/>
  <c r="S28" i="8"/>
  <c r="S51" i="8"/>
  <c r="S14" i="8"/>
  <c r="S7" i="8"/>
  <c r="S42" i="8"/>
  <c r="S20" i="8"/>
  <c r="S32" i="8"/>
  <c r="S45" i="8"/>
  <c r="S41" i="8"/>
  <c r="S38" i="8"/>
  <c r="S27" i="8"/>
  <c r="S36" i="8"/>
  <c r="S21" i="8"/>
  <c r="S25" i="8"/>
  <c r="S13" i="8"/>
  <c r="S34" i="8"/>
  <c r="S19" i="8"/>
  <c r="S39" i="8"/>
  <c r="S6" i="8"/>
  <c r="S24" i="8"/>
  <c r="S31" i="8"/>
  <c r="S30" i="8"/>
  <c r="S43" i="8"/>
  <c r="S47" i="8"/>
  <c r="S9" i="8"/>
  <c r="S46" i="8"/>
  <c r="S16" i="8"/>
  <c r="S22" i="8"/>
  <c r="S15" i="8"/>
  <c r="S26" i="8"/>
  <c r="Z26" i="12"/>
  <c r="U26" i="24"/>
  <c r="U68" i="24" s="1"/>
  <c r="Z23" i="12"/>
  <c r="U23" i="24"/>
  <c r="U65" i="24" s="1"/>
  <c r="V7" i="8"/>
  <c r="V17" i="12"/>
  <c r="Q17" i="24"/>
  <c r="Q59" i="24" s="1"/>
  <c r="V35" i="12"/>
  <c r="Q35" i="24"/>
  <c r="Q77" i="24" s="1"/>
  <c r="AD14" i="8"/>
  <c r="AA14" i="23"/>
  <c r="AA66" i="23" s="1"/>
  <c r="AD20" i="8"/>
  <c r="AA20" i="23"/>
  <c r="AA72" i="23" s="1"/>
  <c r="AD27" i="8"/>
  <c r="AA27" i="23"/>
  <c r="AA79" i="23" s="1"/>
  <c r="AD24" i="8"/>
  <c r="AA24" i="23"/>
  <c r="AA76" i="23" s="1"/>
  <c r="AD46" i="8"/>
  <c r="AA46" i="23"/>
  <c r="AA98" i="23" s="1"/>
  <c r="Z19" i="12"/>
  <c r="U19" i="24"/>
  <c r="U61" i="24" s="1"/>
  <c r="O9" i="24"/>
  <c r="O51" i="24" s="1"/>
  <c r="V36" i="8"/>
  <c r="Q5" i="24"/>
  <c r="Q47" i="24" s="1"/>
  <c r="S43" i="12"/>
  <c r="V5" i="12"/>
  <c r="Z5" i="12"/>
  <c r="Y43" i="12"/>
  <c r="O12" i="24"/>
  <c r="O54" i="24" s="1"/>
  <c r="Z29" i="12"/>
  <c r="U29" i="24"/>
  <c r="U71" i="24" s="1"/>
  <c r="V23" i="12"/>
  <c r="Q23" i="24"/>
  <c r="Q65" i="24" s="1"/>
  <c r="Z30" i="12"/>
  <c r="U30" i="24"/>
  <c r="U72" i="24" s="1"/>
  <c r="T37" i="23"/>
  <c r="T89" i="23" s="1"/>
  <c r="T31" i="23"/>
  <c r="T83" i="23" s="1"/>
  <c r="T17" i="23"/>
  <c r="T69" i="23" s="1"/>
  <c r="Z41" i="12"/>
  <c r="U41" i="24"/>
  <c r="U83" i="24" s="1"/>
  <c r="Q22" i="24"/>
  <c r="Q64" i="24" s="1"/>
  <c r="V22" i="12"/>
  <c r="Z33" i="12"/>
  <c r="U33" i="24"/>
  <c r="U75" i="24" s="1"/>
  <c r="O39" i="24"/>
  <c r="O81" i="24" s="1"/>
  <c r="V39" i="12"/>
  <c r="Q39" i="24"/>
  <c r="Q81" i="24" s="1"/>
  <c r="V25" i="12"/>
  <c r="Q25" i="24"/>
  <c r="Q67" i="24" s="1"/>
  <c r="Y34" i="9"/>
  <c r="Y33" i="9"/>
  <c r="AB33" i="7"/>
  <c r="Y17" i="9"/>
  <c r="Y45" i="9"/>
  <c r="AB45" i="9" s="1"/>
  <c r="AB45" i="7"/>
  <c r="Y18" i="9"/>
  <c r="AD37" i="8"/>
  <c r="AA37" i="23"/>
  <c r="AA89" i="23" s="1"/>
  <c r="L12" i="24"/>
  <c r="L54" i="24" s="1"/>
  <c r="Q11" i="24"/>
  <c r="Q53" i="24" s="1"/>
  <c r="V11" i="12"/>
  <c r="Z11" i="12"/>
  <c r="U11" i="24"/>
  <c r="U53" i="24" s="1"/>
  <c r="V15" i="8"/>
  <c r="U15" i="23" s="1"/>
  <c r="U67" i="23" s="1"/>
  <c r="V9" i="8"/>
  <c r="V49" i="8"/>
  <c r="V29" i="8"/>
  <c r="V19" i="8"/>
  <c r="V23" i="8"/>
  <c r="V45" i="8"/>
  <c r="V24" i="8"/>
  <c r="V51" i="8"/>
  <c r="V6" i="8"/>
  <c r="V50" i="8"/>
  <c r="V11" i="8"/>
  <c r="V8" i="8"/>
  <c r="V44" i="8"/>
  <c r="V5" i="8"/>
  <c r="V12" i="8"/>
  <c r="V42" i="8"/>
  <c r="V47" i="8"/>
  <c r="V43" i="8"/>
  <c r="V41" i="8"/>
  <c r="V10" i="8"/>
  <c r="V46" i="8"/>
  <c r="V16" i="8"/>
  <c r="AD51" i="8"/>
  <c r="AA51" i="23"/>
  <c r="AA103" i="23" s="1"/>
  <c r="AD43" i="8"/>
  <c r="AA43" i="23"/>
  <c r="AA95" i="23" s="1"/>
  <c r="AD34" i="8"/>
  <c r="AA34" i="23"/>
  <c r="AA86" i="23" s="1"/>
  <c r="AD44" i="8"/>
  <c r="AA44" i="23"/>
  <c r="AA96" i="23" s="1"/>
  <c r="AD40" i="8"/>
  <c r="AA40" i="23"/>
  <c r="AA92" i="23" s="1"/>
  <c r="Z43" i="11"/>
  <c r="Z40" i="12"/>
  <c r="U40" i="24"/>
  <c r="U82" i="24" s="1"/>
  <c r="AB33" i="9"/>
  <c r="V39" i="8"/>
  <c r="U39" i="23" s="1"/>
  <c r="U91" i="23" s="1"/>
  <c r="Q37" i="24"/>
  <c r="Q79" i="24" s="1"/>
  <c r="V37" i="12"/>
  <c r="Q41" i="24"/>
  <c r="Q83" i="24" s="1"/>
  <c r="V41" i="12"/>
  <c r="T38" i="23"/>
  <c r="T90" i="23" s="1"/>
  <c r="T32" i="23"/>
  <c r="T84" i="23" s="1"/>
  <c r="Z25" i="12"/>
  <c r="U25" i="24"/>
  <c r="U67" i="24" s="1"/>
  <c r="Y16" i="9"/>
  <c r="AB16" i="9" s="1"/>
  <c r="Y46" i="9"/>
  <c r="Y11" i="9"/>
  <c r="Y42" i="9"/>
  <c r="AB42" i="9" s="1"/>
  <c r="Y44" i="9"/>
  <c r="AB44" i="7"/>
  <c r="Y20" i="9"/>
  <c r="Z32" i="12"/>
  <c r="U32" i="24"/>
  <c r="U74" i="24" s="1"/>
  <c r="Z12" i="12"/>
  <c r="U12" i="24"/>
  <c r="U54" i="24" s="1"/>
  <c r="V20" i="12"/>
  <c r="Q20" i="24"/>
  <c r="Q62" i="24" s="1"/>
  <c r="V53" i="9"/>
  <c r="AA50" i="23"/>
  <c r="AA102" i="23" s="1"/>
  <c r="AD50" i="8"/>
  <c r="AA10" i="23"/>
  <c r="AA62" i="23" s="1"/>
  <c r="AD10" i="8"/>
  <c r="AD12" i="8"/>
  <c r="AA12" i="23"/>
  <c r="AA64" i="23" s="1"/>
  <c r="AD41" i="8"/>
  <c r="AA41" i="23"/>
  <c r="AA93" i="23" s="1"/>
  <c r="AD33" i="8"/>
  <c r="AA33" i="23"/>
  <c r="AA85" i="23" s="1"/>
  <c r="AD48" i="8"/>
  <c r="AA48" i="23"/>
  <c r="AA100" i="23" s="1"/>
  <c r="Z36" i="12"/>
  <c r="U36" i="24"/>
  <c r="U78" i="24" s="1"/>
  <c r="Z37" i="12"/>
  <c r="U37" i="24"/>
  <c r="U79" i="24" s="1"/>
  <c r="V31" i="8"/>
  <c r="U31" i="23" s="1"/>
  <c r="U83" i="23" s="1"/>
  <c r="V27" i="12"/>
  <c r="Q27" i="24"/>
  <c r="Q69" i="24" s="1"/>
  <c r="Z5" i="13"/>
  <c r="Z43" i="13" s="1"/>
  <c r="Y43" i="13"/>
  <c r="O36" i="24"/>
  <c r="O78" i="24" s="1"/>
  <c r="V21" i="12"/>
  <c r="Q21" i="24"/>
  <c r="Q63" i="24" s="1"/>
  <c r="Q24" i="24"/>
  <c r="Q66" i="24" s="1"/>
  <c r="V24" i="12"/>
  <c r="O16" i="24"/>
  <c r="O58" i="24" s="1"/>
  <c r="V33" i="8"/>
  <c r="V19" i="12"/>
  <c r="Q19" i="24"/>
  <c r="Q61" i="24" s="1"/>
  <c r="Z38" i="12"/>
  <c r="U38" i="24"/>
  <c r="U80" i="24" s="1"/>
  <c r="V17" i="8"/>
  <c r="U17" i="23" s="1"/>
  <c r="U69" i="23" s="1"/>
  <c r="V14" i="8"/>
  <c r="U14" i="23" s="1"/>
  <c r="U66" i="23" s="1"/>
  <c r="T25" i="23"/>
  <c r="T77" i="23" s="1"/>
  <c r="Z21" i="12"/>
  <c r="U21" i="24"/>
  <c r="U63" i="24" s="1"/>
  <c r="Z35" i="12"/>
  <c r="U35" i="24"/>
  <c r="U77" i="24" s="1"/>
  <c r="O34" i="24"/>
  <c r="O76" i="24" s="1"/>
  <c r="U7" i="25"/>
  <c r="U13" i="25" s="1"/>
  <c r="V48" i="8"/>
  <c r="U48" i="23" s="1"/>
  <c r="U100" i="23" s="1"/>
  <c r="Y26" i="9"/>
  <c r="AB26" i="9" s="1"/>
  <c r="AB26" i="7"/>
  <c r="Y28" i="9"/>
  <c r="AB9" i="7"/>
  <c r="Y9" i="9"/>
  <c r="Y48" i="9"/>
  <c r="AB48" i="9" s="1"/>
  <c r="AB48" i="7"/>
  <c r="Y14" i="9"/>
  <c r="AB14" i="9" s="1"/>
  <c r="AB14" i="7"/>
  <c r="AA10" i="11"/>
  <c r="Q18" i="24"/>
  <c r="Q60" i="24" s="1"/>
  <c r="V18" i="12"/>
  <c r="AB44" i="9"/>
  <c r="Q13" i="24"/>
  <c r="Q55" i="24" s="1"/>
  <c r="V13" i="12"/>
  <c r="Q14" i="24"/>
  <c r="Q56" i="24" s="1"/>
  <c r="V14" i="12"/>
  <c r="AD49" i="8"/>
  <c r="AA49" i="23"/>
  <c r="AA101" i="23" s="1"/>
  <c r="AD18" i="8"/>
  <c r="AA18" i="23"/>
  <c r="AA70" i="23" s="1"/>
  <c r="AD6" i="8"/>
  <c r="AA6" i="23"/>
  <c r="AA58" i="23" s="1"/>
  <c r="AA36" i="23"/>
  <c r="AA88" i="23" s="1"/>
  <c r="AD36" i="8"/>
  <c r="AD25" i="8"/>
  <c r="AA25" i="23"/>
  <c r="AA77" i="23" s="1"/>
  <c r="Z39" i="12"/>
  <c r="U39" i="24"/>
  <c r="U81" i="24" s="1"/>
  <c r="AB18" i="9"/>
  <c r="V25" i="8"/>
  <c r="U25" i="23" s="1"/>
  <c r="U77" i="23" s="1"/>
  <c r="V37" i="8"/>
  <c r="U37" i="23" s="1"/>
  <c r="U89" i="23" s="1"/>
  <c r="V36" i="12"/>
  <c r="Q36" i="24"/>
  <c r="Q78" i="24" s="1"/>
  <c r="Z9" i="12"/>
  <c r="U9" i="24"/>
  <c r="U51" i="24" s="1"/>
  <c r="AD5" i="23"/>
  <c r="AD57" i="23" s="1"/>
  <c r="AH53" i="8"/>
  <c r="AB9" i="9"/>
  <c r="V26" i="12"/>
  <c r="Q26" i="24"/>
  <c r="Q68" i="24" s="1"/>
  <c r="L5" i="23"/>
  <c r="L57" i="23" s="1"/>
  <c r="L53" i="8"/>
  <c r="AB34" i="9"/>
  <c r="Q31" i="24"/>
  <c r="Q73" i="24" s="1"/>
  <c r="V31" i="12"/>
  <c r="T28" i="23"/>
  <c r="T80" i="23" s="1"/>
  <c r="T39" i="23"/>
  <c r="T91" i="23" s="1"/>
  <c r="AB6" i="9"/>
  <c r="Q16" i="24"/>
  <c r="Q58" i="24" s="1"/>
  <c r="V16" i="12"/>
  <c r="Z27" i="12"/>
  <c r="U27" i="24"/>
  <c r="U69" i="24" s="1"/>
  <c r="Y50" i="9"/>
  <c r="AB50" i="9" s="1"/>
  <c r="Y13" i="9"/>
  <c r="AB13" i="7"/>
  <c r="Y7" i="9"/>
  <c r="Y29" i="9"/>
  <c r="AB29" i="9" s="1"/>
  <c r="Y32" i="9"/>
  <c r="AB32" i="9" s="1"/>
  <c r="Y12" i="9"/>
  <c r="Z34" i="12"/>
  <c r="U34" i="24"/>
  <c r="U76" i="24" s="1"/>
  <c r="AA35" i="13"/>
  <c r="S27" i="28" s="1"/>
  <c r="AA17" i="11"/>
  <c r="W17" i="13" s="1"/>
  <c r="P29" i="13"/>
  <c r="V27" i="8"/>
  <c r="AD42" i="8"/>
  <c r="AA42" i="23"/>
  <c r="AA94" i="23" s="1"/>
  <c r="AA31" i="23"/>
  <c r="AA83" i="23" s="1"/>
  <c r="AD31" i="8"/>
  <c r="AD32" i="8"/>
  <c r="AA32" i="23"/>
  <c r="AA84" i="23" s="1"/>
  <c r="AD17" i="8"/>
  <c r="AA17" i="23"/>
  <c r="AA69" i="23" s="1"/>
  <c r="AD23" i="8"/>
  <c r="AA23" i="23"/>
  <c r="AA75" i="23" s="1"/>
  <c r="O25" i="24"/>
  <c r="O67" i="24" s="1"/>
  <c r="V18" i="8"/>
  <c r="O14" i="25"/>
  <c r="O15" i="25"/>
  <c r="Z8" i="12"/>
  <c r="U8" i="24"/>
  <c r="U50" i="24" s="1"/>
  <c r="O23" i="24"/>
  <c r="O65" i="24" s="1"/>
  <c r="Q5" i="23"/>
  <c r="Q57" i="23" s="1"/>
  <c r="Q53" i="8"/>
  <c r="O19" i="24"/>
  <c r="O61" i="24" s="1"/>
  <c r="AB20" i="9"/>
  <c r="O5" i="23"/>
  <c r="O57" i="23" s="1"/>
  <c r="O53" i="8"/>
  <c r="Z13" i="12"/>
  <c r="U13" i="24"/>
  <c r="U55" i="24" s="1"/>
  <c r="Z24" i="12"/>
  <c r="U24" i="24"/>
  <c r="U66" i="24" s="1"/>
  <c r="O11" i="24"/>
  <c r="O53" i="24" s="1"/>
  <c r="AB17" i="9"/>
  <c r="V34" i="8"/>
  <c r="U34" i="23" s="1"/>
  <c r="U86" i="23" s="1"/>
  <c r="T15" i="23"/>
  <c r="T67" i="23" s="1"/>
  <c r="T26" i="23"/>
  <c r="T78" i="23" s="1"/>
  <c r="T34" i="23"/>
  <c r="T86" i="23" s="1"/>
  <c r="O33" i="24"/>
  <c r="O75" i="24" s="1"/>
  <c r="AB11" i="9"/>
  <c r="AB28" i="9"/>
  <c r="Z7" i="12"/>
  <c r="U7" i="24"/>
  <c r="U49" i="24" s="1"/>
  <c r="Q30" i="24"/>
  <c r="Q72" i="24" s="1"/>
  <c r="V30" i="12"/>
  <c r="Y38" i="8"/>
  <c r="X38" i="23" s="1"/>
  <c r="X90" i="23" s="1"/>
  <c r="Y38" i="9"/>
  <c r="Y43" i="9"/>
  <c r="AB43" i="9" s="1"/>
  <c r="AB43" i="7"/>
  <c r="Y5" i="9"/>
  <c r="AB5" i="9" s="1"/>
  <c r="AB53" i="9" s="1"/>
  <c r="Y53" i="7"/>
  <c r="Y58" i="7" s="1"/>
  <c r="Y51" i="8" s="1"/>
  <c r="X51" i="23" s="1"/>
  <c r="X103" i="23" s="1"/>
  <c r="Y5" i="8"/>
  <c r="AB5" i="7"/>
  <c r="Y41" i="9"/>
  <c r="AB41" i="9" s="1"/>
  <c r="Y10" i="9"/>
  <c r="AB10" i="9" s="1"/>
  <c r="AB10" i="7"/>
  <c r="Y49" i="9"/>
  <c r="AB49" i="9" s="1"/>
  <c r="AD35" i="8"/>
  <c r="AA35" i="23"/>
  <c r="AA87" i="23" s="1"/>
  <c r="Z17" i="12"/>
  <c r="U17" i="24"/>
  <c r="U59" i="24" s="1"/>
  <c r="Z20" i="12"/>
  <c r="U20" i="24"/>
  <c r="U62" i="24" s="1"/>
  <c r="W5" i="23"/>
  <c r="W57" i="23" s="1"/>
  <c r="X53" i="8"/>
  <c r="AD47" i="8"/>
  <c r="AA47" i="23"/>
  <c r="AA99" i="23" s="1"/>
  <c r="AD8" i="8"/>
  <c r="AA8" i="23"/>
  <c r="AA60" i="23" s="1"/>
  <c r="AD39" i="8"/>
  <c r="AA39" i="23"/>
  <c r="AA91" i="23" s="1"/>
  <c r="AD13" i="8"/>
  <c r="AA13" i="23"/>
  <c r="AA65" i="23" s="1"/>
  <c r="AD15" i="8"/>
  <c r="AA15" i="23"/>
  <c r="AA67" i="23" s="1"/>
  <c r="Q29" i="24"/>
  <c r="Q71" i="24" s="1"/>
  <c r="V29" i="12"/>
  <c r="V30" i="8"/>
  <c r="AB38" i="9"/>
  <c r="V20" i="8"/>
  <c r="U20" i="23" s="1"/>
  <c r="U72" i="23" s="1"/>
  <c r="P14" i="25"/>
  <c r="P15" i="25"/>
  <c r="R43" i="12"/>
  <c r="AI53" i="8"/>
  <c r="T5" i="23"/>
  <c r="T57" i="23" s="1"/>
  <c r="U53" i="8"/>
  <c r="T48" i="23"/>
  <c r="T100" i="23" s="1"/>
  <c r="T35" i="23"/>
  <c r="T87" i="23" s="1"/>
  <c r="Z22" i="12"/>
  <c r="U22" i="24"/>
  <c r="U64" i="24" s="1"/>
  <c r="V28" i="8"/>
  <c r="U28" i="23" s="1"/>
  <c r="U80" i="23" s="1"/>
  <c r="V12" i="12"/>
  <c r="Q12" i="24"/>
  <c r="Q54" i="24" s="1"/>
  <c r="V40" i="12"/>
  <c r="Q40" i="24"/>
  <c r="Q82" i="24" s="1"/>
  <c r="Y6" i="9"/>
  <c r="Y6" i="8"/>
  <c r="X6" i="23" s="1"/>
  <c r="X58" i="23" s="1"/>
  <c r="Y35" i="9"/>
  <c r="AB35" i="7"/>
  <c r="Y27" i="9"/>
  <c r="AB27" i="9" s="1"/>
  <c r="Y24" i="9"/>
  <c r="AB24" i="9" s="1"/>
  <c r="Y8" i="8"/>
  <c r="X8" i="23" s="1"/>
  <c r="X60" i="23" s="1"/>
  <c r="Y8" i="9"/>
  <c r="AB8" i="9" s="1"/>
  <c r="Y31" i="9"/>
  <c r="AB31" i="9" s="1"/>
  <c r="Q10" i="24"/>
  <c r="Q52" i="24" s="1"/>
  <c r="V10" i="12"/>
  <c r="Z6" i="12"/>
  <c r="U6" i="24"/>
  <c r="U48" i="24" s="1"/>
  <c r="Q6" i="24"/>
  <c r="Q48" i="24" s="1"/>
  <c r="G9" i="26" s="1"/>
  <c r="V6" i="12"/>
  <c r="AD22" i="8"/>
  <c r="AA22" i="23"/>
  <c r="AA74" i="23" s="1"/>
  <c r="AD38" i="8"/>
  <c r="AA38" i="23"/>
  <c r="AA90" i="23" s="1"/>
  <c r="AD21" i="8"/>
  <c r="AA21" i="23"/>
  <c r="AA73" i="23" s="1"/>
  <c r="AA19" i="23"/>
  <c r="AA71" i="23" s="1"/>
  <c r="AD19" i="8"/>
  <c r="AD28" i="8"/>
  <c r="AA28" i="23"/>
  <c r="AA80" i="23" s="1"/>
  <c r="Z31" i="12"/>
  <c r="U31" i="24"/>
  <c r="U73" i="24" s="1"/>
  <c r="O29" i="24"/>
  <c r="O71" i="24" s="1"/>
  <c r="AB12" i="9"/>
  <c r="V5" i="13"/>
  <c r="V43" i="13" s="1"/>
  <c r="S43" i="13"/>
  <c r="P5" i="23"/>
  <c r="P57" i="23" s="1"/>
  <c r="P53" i="8"/>
  <c r="Z16" i="12"/>
  <c r="U16" i="24"/>
  <c r="U58" i="24" s="1"/>
  <c r="O30" i="24"/>
  <c r="O72" i="24" s="1"/>
  <c r="AB13" i="9"/>
  <c r="V38" i="8"/>
  <c r="U38" i="23" s="1"/>
  <c r="U90" i="23" s="1"/>
  <c r="O43" i="13"/>
  <c r="V5" i="23"/>
  <c r="V57" i="23" s="1"/>
  <c r="W53" i="8"/>
  <c r="AB46" i="9"/>
  <c r="F9" i="26"/>
  <c r="F11" i="26"/>
  <c r="F7" i="26"/>
  <c r="F13" i="26" s="1"/>
  <c r="O37" i="24"/>
  <c r="O79" i="24" s="1"/>
  <c r="O15" i="24"/>
  <c r="O57" i="24" s="1"/>
  <c r="Q38" i="24"/>
  <c r="Q80" i="24" s="1"/>
  <c r="V38" i="12"/>
  <c r="Q15" i="24"/>
  <c r="Q57" i="24" s="1"/>
  <c r="V15" i="12"/>
  <c r="AB35" i="9"/>
  <c r="Y47" i="9"/>
  <c r="AB47" i="9" s="1"/>
  <c r="Y23" i="8"/>
  <c r="X23" i="23" s="1"/>
  <c r="X75" i="23" s="1"/>
  <c r="Y23" i="9"/>
  <c r="AB23" i="9" s="1"/>
  <c r="AB21" i="7"/>
  <c r="Y21" i="9"/>
  <c r="AB21" i="9" s="1"/>
  <c r="Y21" i="8"/>
  <c r="X21" i="23" s="1"/>
  <c r="X73" i="23" s="1"/>
  <c r="Y22" i="8"/>
  <c r="AB22" i="8" s="1"/>
  <c r="Y22" i="9"/>
  <c r="Y25" i="9"/>
  <c r="AB25" i="9" s="1"/>
  <c r="Y40" i="9"/>
  <c r="AB40" i="9" s="1"/>
  <c r="Y40" i="8"/>
  <c r="Z14" i="12"/>
  <c r="U14" i="24"/>
  <c r="U56" i="24" s="1"/>
  <c r="AB34" i="7"/>
  <c r="R46" i="8"/>
  <c r="R46" i="23" s="1"/>
  <c r="R98" i="23" s="1"/>
  <c r="R30" i="8"/>
  <c r="R30" i="23" s="1"/>
  <c r="R82" i="23" s="1"/>
  <c r="R24" i="8"/>
  <c r="R14" i="8"/>
  <c r="R14" i="23" s="1"/>
  <c r="R66" i="23" s="1"/>
  <c r="R23" i="8"/>
  <c r="R44" i="8"/>
  <c r="R44" i="23" s="1"/>
  <c r="R96" i="23" s="1"/>
  <c r="R9" i="8"/>
  <c r="R9" i="23" s="1"/>
  <c r="R61" i="23" s="1"/>
  <c r="R8" i="8"/>
  <c r="R8" i="23" s="1"/>
  <c r="R60" i="23" s="1"/>
  <c r="R33" i="8"/>
  <c r="R33" i="23" s="1"/>
  <c r="R85" i="23" s="1"/>
  <c r="R22" i="8"/>
  <c r="R19" i="8"/>
  <c r="R19" i="23" s="1"/>
  <c r="R71" i="23" s="1"/>
  <c r="R5" i="8"/>
  <c r="R20" i="8"/>
  <c r="R20" i="23" s="1"/>
  <c r="R72" i="23" s="1"/>
  <c r="R12" i="8"/>
  <c r="R12" i="23" s="1"/>
  <c r="R64" i="23" s="1"/>
  <c r="R41" i="8"/>
  <c r="R41" i="23" s="1"/>
  <c r="R93" i="23" s="1"/>
  <c r="R45" i="8"/>
  <c r="R45" i="23" s="1"/>
  <c r="R97" i="23" s="1"/>
  <c r="R15" i="8"/>
  <c r="R15" i="23" s="1"/>
  <c r="R67" i="23" s="1"/>
  <c r="R40" i="8"/>
  <c r="R40" i="23" s="1"/>
  <c r="R92" i="23" s="1"/>
  <c r="R49" i="8"/>
  <c r="R49" i="23" s="1"/>
  <c r="R101" i="23" s="1"/>
  <c r="R35" i="8"/>
  <c r="R35" i="23" s="1"/>
  <c r="R87" i="23" s="1"/>
  <c r="R13" i="8"/>
  <c r="R13" i="23" s="1"/>
  <c r="R65" i="23" s="1"/>
  <c r="R43" i="8"/>
  <c r="R43" i="23" s="1"/>
  <c r="R95" i="23" s="1"/>
  <c r="R32" i="8"/>
  <c r="R32" i="23" s="1"/>
  <c r="R84" i="23" s="1"/>
  <c r="R26" i="8"/>
  <c r="R42" i="8"/>
  <c r="R42" i="23" s="1"/>
  <c r="R94" i="23" s="1"/>
  <c r="R51" i="8"/>
  <c r="R51" i="23" s="1"/>
  <c r="R103" i="23" s="1"/>
  <c r="R29" i="8"/>
  <c r="R21" i="8"/>
  <c r="R38" i="8"/>
  <c r="R38" i="23" s="1"/>
  <c r="R90" i="23" s="1"/>
  <c r="R36" i="8"/>
  <c r="R36" i="23" s="1"/>
  <c r="R88" i="23" s="1"/>
  <c r="R27" i="8"/>
  <c r="R7" i="8"/>
  <c r="R7" i="23" s="1"/>
  <c r="R59" i="23" s="1"/>
  <c r="R37" i="8"/>
  <c r="R37" i="23" s="1"/>
  <c r="R89" i="23" s="1"/>
  <c r="R31" i="8"/>
  <c r="R31" i="23" s="1"/>
  <c r="R83" i="23" s="1"/>
  <c r="R34" i="8"/>
  <c r="R34" i="23" s="1"/>
  <c r="R86" i="23" s="1"/>
  <c r="R39" i="8"/>
  <c r="R39" i="23" s="1"/>
  <c r="R91" i="23" s="1"/>
  <c r="R6" i="8"/>
  <c r="R6" i="23" s="1"/>
  <c r="R58" i="23" s="1"/>
  <c r="R25" i="8"/>
  <c r="R25" i="23" s="1"/>
  <c r="R77" i="23" s="1"/>
  <c r="R10" i="8"/>
  <c r="R10" i="23" s="1"/>
  <c r="R62" i="23" s="1"/>
  <c r="R47" i="8"/>
  <c r="R47" i="23" s="1"/>
  <c r="R99" i="23" s="1"/>
  <c r="R11" i="8"/>
  <c r="R11" i="23" s="1"/>
  <c r="R63" i="23" s="1"/>
  <c r="R50" i="8"/>
  <c r="R50" i="23" s="1"/>
  <c r="R102" i="23" s="1"/>
  <c r="R18" i="8"/>
  <c r="R18" i="23" s="1"/>
  <c r="R70" i="23" s="1"/>
  <c r="R16" i="8"/>
  <c r="R16" i="23" s="1"/>
  <c r="R68" i="23" s="1"/>
  <c r="R28" i="8"/>
  <c r="R48" i="8"/>
  <c r="R48" i="23" s="1"/>
  <c r="R100" i="23" s="1"/>
  <c r="R17" i="8"/>
  <c r="R17" i="23" s="1"/>
  <c r="R69" i="23" s="1"/>
  <c r="AB7" i="9"/>
  <c r="AA5" i="23"/>
  <c r="AA57" i="23" s="1"/>
  <c r="AD5" i="8"/>
  <c r="AC53" i="8"/>
  <c r="AD29" i="8"/>
  <c r="AA29" i="23"/>
  <c r="AA81" i="23" s="1"/>
  <c r="AD7" i="8"/>
  <c r="AA7" i="23"/>
  <c r="AA59" i="23" s="1"/>
  <c r="AA45" i="23"/>
  <c r="AA97" i="23" s="1"/>
  <c r="AD45" i="8"/>
  <c r="AD16" i="8"/>
  <c r="AA16" i="23"/>
  <c r="AA68" i="23" s="1"/>
  <c r="AB36" i="9"/>
  <c r="V43" i="11"/>
  <c r="Q33" i="24"/>
  <c r="Q75" i="24" s="1"/>
  <c r="V33" i="12"/>
  <c r="Z15" i="12"/>
  <c r="U15" i="24"/>
  <c r="U57" i="24" s="1"/>
  <c r="V13" i="8"/>
  <c r="U13" i="23" s="1"/>
  <c r="U65" i="23" s="1"/>
  <c r="V7" i="12"/>
  <c r="Q7" i="24"/>
  <c r="Q49" i="24" s="1"/>
  <c r="Z28" i="12"/>
  <c r="U28" i="24"/>
  <c r="U70" i="24" s="1"/>
  <c r="O5" i="24"/>
  <c r="O47" i="24" s="1"/>
  <c r="O43" i="12"/>
  <c r="Q32" i="24"/>
  <c r="Q74" i="24" s="1"/>
  <c r="V32" i="12"/>
  <c r="U15" i="25"/>
  <c r="U14" i="25"/>
  <c r="Q8" i="24"/>
  <c r="Q50" i="24" s="1"/>
  <c r="V8" i="12"/>
  <c r="T20" i="23"/>
  <c r="T72" i="23" s="1"/>
  <c r="T13" i="23"/>
  <c r="T65" i="23" s="1"/>
  <c r="Z10" i="12"/>
  <c r="U10" i="24"/>
  <c r="U52" i="24" s="1"/>
  <c r="V21" i="8"/>
  <c r="AB22" i="9"/>
  <c r="Q28" i="24"/>
  <c r="Q70" i="24" s="1"/>
  <c r="V28" i="12"/>
  <c r="M38" i="8"/>
  <c r="M38" i="23" s="1"/>
  <c r="M90" i="23" s="1"/>
  <c r="M43" i="8"/>
  <c r="M43" i="23" s="1"/>
  <c r="M95" i="23" s="1"/>
  <c r="M28" i="8"/>
  <c r="M28" i="23" s="1"/>
  <c r="M80" i="23" s="1"/>
  <c r="M12" i="8"/>
  <c r="M12" i="23" s="1"/>
  <c r="M64" i="23" s="1"/>
  <c r="M21" i="8"/>
  <c r="M21" i="23" s="1"/>
  <c r="M73" i="23" s="1"/>
  <c r="M35" i="8"/>
  <c r="M35" i="23" s="1"/>
  <c r="M87" i="23" s="1"/>
  <c r="M40" i="8"/>
  <c r="M40" i="23" s="1"/>
  <c r="M92" i="23" s="1"/>
  <c r="M20" i="8"/>
  <c r="M20" i="23" s="1"/>
  <c r="M72" i="23" s="1"/>
  <c r="M49" i="8"/>
  <c r="M49" i="23" s="1"/>
  <c r="M101" i="23" s="1"/>
  <c r="M26" i="8"/>
  <c r="M26" i="23" s="1"/>
  <c r="M78" i="23" s="1"/>
  <c r="M18" i="8"/>
  <c r="M18" i="23" s="1"/>
  <c r="M70" i="23" s="1"/>
  <c r="M16" i="8"/>
  <c r="M16" i="23" s="1"/>
  <c r="M68" i="23" s="1"/>
  <c r="M14" i="8"/>
  <c r="M14" i="23" s="1"/>
  <c r="M66" i="23" s="1"/>
  <c r="M5" i="8"/>
  <c r="M7" i="8"/>
  <c r="M7" i="23" s="1"/>
  <c r="M59" i="23" s="1"/>
  <c r="M33" i="8"/>
  <c r="M33" i="23" s="1"/>
  <c r="M85" i="23" s="1"/>
  <c r="M19" i="8"/>
  <c r="M19" i="23" s="1"/>
  <c r="M71" i="23" s="1"/>
  <c r="M13" i="8"/>
  <c r="M13" i="23" s="1"/>
  <c r="M65" i="23" s="1"/>
  <c r="M48" i="8"/>
  <c r="M48" i="23" s="1"/>
  <c r="M100" i="23" s="1"/>
  <c r="M45" i="8"/>
  <c r="M45" i="23" s="1"/>
  <c r="M97" i="23" s="1"/>
  <c r="M50" i="8"/>
  <c r="M50" i="23" s="1"/>
  <c r="M102" i="23" s="1"/>
  <c r="M8" i="8"/>
  <c r="M8" i="23" s="1"/>
  <c r="M60" i="23" s="1"/>
  <c r="M32" i="8"/>
  <c r="M32" i="23" s="1"/>
  <c r="M84" i="23" s="1"/>
  <c r="M22" i="8"/>
  <c r="M22" i="23" s="1"/>
  <c r="M74" i="23" s="1"/>
  <c r="M31" i="8"/>
  <c r="M31" i="23" s="1"/>
  <c r="M83" i="23" s="1"/>
  <c r="M39" i="8"/>
  <c r="M39" i="23" s="1"/>
  <c r="M91" i="23" s="1"/>
  <c r="M24" i="8"/>
  <c r="M24" i="23" s="1"/>
  <c r="M76" i="23" s="1"/>
  <c r="M17" i="8"/>
  <c r="M17" i="23" s="1"/>
  <c r="M69" i="23" s="1"/>
  <c r="M27" i="8"/>
  <c r="M27" i="23" s="1"/>
  <c r="M79" i="23" s="1"/>
  <c r="M15" i="8"/>
  <c r="M15" i="23" s="1"/>
  <c r="M67" i="23" s="1"/>
  <c r="M37" i="8"/>
  <c r="M37" i="23" s="1"/>
  <c r="M89" i="23" s="1"/>
  <c r="M41" i="8"/>
  <c r="M41" i="23" s="1"/>
  <c r="M93" i="23" s="1"/>
  <c r="M46" i="8"/>
  <c r="M46" i="23" s="1"/>
  <c r="M98" i="23" s="1"/>
  <c r="M36" i="8"/>
  <c r="M36" i="23" s="1"/>
  <c r="M88" i="23" s="1"/>
  <c r="M6" i="8"/>
  <c r="M6" i="23" s="1"/>
  <c r="M58" i="23" s="1"/>
  <c r="M34" i="8"/>
  <c r="M34" i="23" s="1"/>
  <c r="M86" i="23" s="1"/>
  <c r="M23" i="8"/>
  <c r="M23" i="23" s="1"/>
  <c r="M75" i="23" s="1"/>
  <c r="M29" i="8"/>
  <c r="M29" i="23" s="1"/>
  <c r="M81" i="23" s="1"/>
  <c r="M10" i="8"/>
  <c r="M10" i="23" s="1"/>
  <c r="M62" i="23" s="1"/>
  <c r="M47" i="8"/>
  <c r="M47" i="23" s="1"/>
  <c r="M99" i="23" s="1"/>
  <c r="M44" i="8"/>
  <c r="M44" i="23" s="1"/>
  <c r="M96" i="23" s="1"/>
  <c r="M9" i="8"/>
  <c r="M9" i="23" s="1"/>
  <c r="M61" i="23" s="1"/>
  <c r="M25" i="8"/>
  <c r="M25" i="23" s="1"/>
  <c r="M77" i="23" s="1"/>
  <c r="M11" i="8"/>
  <c r="M11" i="23" s="1"/>
  <c r="M63" i="23" s="1"/>
  <c r="M30" i="8"/>
  <c r="M30" i="23" s="1"/>
  <c r="M82" i="23" s="1"/>
  <c r="M42" i="8"/>
  <c r="M42" i="23" s="1"/>
  <c r="M94" i="23" s="1"/>
  <c r="M51" i="8"/>
  <c r="M51" i="23" s="1"/>
  <c r="M103" i="23" s="1"/>
  <c r="Z18" i="12"/>
  <c r="U18" i="24"/>
  <c r="U60" i="24" s="1"/>
  <c r="V35" i="8"/>
  <c r="U35" i="23" s="1"/>
  <c r="U87" i="23" s="1"/>
  <c r="V9" i="12"/>
  <c r="Q9" i="24"/>
  <c r="Q51" i="24" s="1"/>
  <c r="Y15" i="9"/>
  <c r="AB15" i="9" s="1"/>
  <c r="Y15" i="8"/>
  <c r="AB15" i="8" s="1"/>
  <c r="Y30" i="9"/>
  <c r="AB30" i="9" s="1"/>
  <c r="Y30" i="8"/>
  <c r="AB30" i="7"/>
  <c r="Y37" i="9"/>
  <c r="AB37" i="9" s="1"/>
  <c r="Y37" i="8"/>
  <c r="X37" i="23" s="1"/>
  <c r="X89" i="23" s="1"/>
  <c r="Y19" i="8"/>
  <c r="Y19" i="9"/>
  <c r="AB19" i="9" s="1"/>
  <c r="AB19" i="7"/>
  <c r="Y39" i="8"/>
  <c r="AB39" i="8" s="1"/>
  <c r="Y39" i="9"/>
  <c r="AB39" i="9" s="1"/>
  <c r="X39" i="23"/>
  <c r="X91" i="23" s="1"/>
  <c r="Y36" i="9"/>
  <c r="Y36" i="8"/>
  <c r="X36" i="23" s="1"/>
  <c r="X88" i="23" s="1"/>
  <c r="U5" i="24"/>
  <c r="U47" i="24" s="1"/>
  <c r="L33" i="24"/>
  <c r="L75" i="24" s="1"/>
  <c r="P33" i="12"/>
  <c r="P19" i="12"/>
  <c r="L19" i="24"/>
  <c r="L61" i="24" s="1"/>
  <c r="L20" i="24"/>
  <c r="L62" i="24" s="1"/>
  <c r="P20" i="12"/>
  <c r="L7" i="24"/>
  <c r="L49" i="24" s="1"/>
  <c r="P7" i="12"/>
  <c r="P28" i="12"/>
  <c r="L28" i="24"/>
  <c r="L70" i="24" s="1"/>
  <c r="L37" i="24"/>
  <c r="L79" i="24" s="1"/>
  <c r="P37" i="12"/>
  <c r="L17" i="24"/>
  <c r="L59" i="24" s="1"/>
  <c r="P17" i="12"/>
  <c r="L23" i="24"/>
  <c r="L65" i="24" s="1"/>
  <c r="P23" i="12"/>
  <c r="W28" i="13"/>
  <c r="X28" i="13" s="1"/>
  <c r="AA28" i="13" s="1"/>
  <c r="S22" i="28" s="1"/>
  <c r="L34" i="24"/>
  <c r="L76" i="24" s="1"/>
  <c r="P34" i="12"/>
  <c r="L8" i="24"/>
  <c r="L50" i="24" s="1"/>
  <c r="P8" i="12"/>
  <c r="L40" i="24"/>
  <c r="L82" i="24" s="1"/>
  <c r="P40" i="12"/>
  <c r="L35" i="24"/>
  <c r="L77" i="24" s="1"/>
  <c r="P35" i="12"/>
  <c r="P30" i="12"/>
  <c r="L30" i="24"/>
  <c r="L72" i="24" s="1"/>
  <c r="L26" i="24"/>
  <c r="L68" i="24" s="1"/>
  <c r="P26" i="12"/>
  <c r="W40" i="13"/>
  <c r="X40" i="13" s="1"/>
  <c r="AA40" i="13" s="1"/>
  <c r="S32" i="28" s="1"/>
  <c r="L39" i="24"/>
  <c r="L81" i="24" s="1"/>
  <c r="P39" i="12"/>
  <c r="L10" i="24"/>
  <c r="L52" i="24" s="1"/>
  <c r="P10" i="12"/>
  <c r="W38" i="13"/>
  <c r="X38" i="13" s="1"/>
  <c r="AA38" i="13" s="1"/>
  <c r="S31" i="28" s="1"/>
  <c r="L9" i="24"/>
  <c r="L51" i="24" s="1"/>
  <c r="P9" i="12"/>
  <c r="L43" i="13"/>
  <c r="P5" i="13"/>
  <c r="P43" i="13" s="1"/>
  <c r="L13" i="24"/>
  <c r="L55" i="24" s="1"/>
  <c r="P13" i="12"/>
  <c r="P36" i="12"/>
  <c r="L36" i="24"/>
  <c r="L78" i="24" s="1"/>
  <c r="L24" i="24"/>
  <c r="L66" i="24" s="1"/>
  <c r="P24" i="12"/>
  <c r="L41" i="24"/>
  <c r="L83" i="24" s="1"/>
  <c r="P41" i="12"/>
  <c r="L38" i="24"/>
  <c r="L80" i="24" s="1"/>
  <c r="P38" i="12"/>
  <c r="L29" i="24"/>
  <c r="L71" i="24" s="1"/>
  <c r="P29" i="12"/>
  <c r="P14" i="12"/>
  <c r="L14" i="24"/>
  <c r="L56" i="24" s="1"/>
  <c r="P16" i="12"/>
  <c r="L16" i="24"/>
  <c r="L58" i="24" s="1"/>
  <c r="P5" i="12"/>
  <c r="L43" i="12"/>
  <c r="L5" i="24"/>
  <c r="L47" i="24" s="1"/>
  <c r="W11" i="13"/>
  <c r="X11" i="13" s="1"/>
  <c r="AA11" i="13" s="1"/>
  <c r="S11" i="28" s="1"/>
  <c r="W41" i="13"/>
  <c r="X41" i="13" s="1"/>
  <c r="AA41" i="13" s="1"/>
  <c r="S33" i="28" s="1"/>
  <c r="L22" i="24"/>
  <c r="L64" i="24" s="1"/>
  <c r="P22" i="12"/>
  <c r="L27" i="24"/>
  <c r="L69" i="24" s="1"/>
  <c r="P27" i="12"/>
  <c r="L31" i="24"/>
  <c r="L73" i="24" s="1"/>
  <c r="P31" i="12"/>
  <c r="P6" i="12"/>
  <c r="L6" i="24"/>
  <c r="L48" i="24" s="1"/>
  <c r="B11" i="26" s="1"/>
  <c r="W36" i="13"/>
  <c r="X36" i="13" s="1"/>
  <c r="AA36" i="13" s="1"/>
  <c r="S28" i="28" s="1"/>
  <c r="L11" i="24"/>
  <c r="L53" i="24" s="1"/>
  <c r="P11" i="12"/>
  <c r="P15" i="12"/>
  <c r="L15" i="24"/>
  <c r="L57" i="24" s="1"/>
  <c r="L21" i="24"/>
  <c r="L63" i="24" s="1"/>
  <c r="P21" i="12"/>
  <c r="AA19" i="12"/>
  <c r="L32" i="24"/>
  <c r="L74" i="24" s="1"/>
  <c r="P32" i="12"/>
  <c r="AA5" i="11"/>
  <c r="P43" i="11"/>
  <c r="P25" i="12"/>
  <c r="L25" i="24"/>
  <c r="L67" i="24" s="1"/>
  <c r="W30" i="12"/>
  <c r="X30" i="12" s="1"/>
  <c r="AA30" i="12" s="1"/>
  <c r="W25" i="12"/>
  <c r="X25" i="12" s="1"/>
  <c r="W15" i="12"/>
  <c r="X15" i="12" s="1"/>
  <c r="AA15" i="12" s="1"/>
  <c r="X16" i="13"/>
  <c r="AA16" i="13" s="1"/>
  <c r="S10" i="28" s="1"/>
  <c r="X34" i="13"/>
  <c r="AA34" i="13" s="1"/>
  <c r="X30" i="13"/>
  <c r="AA30" i="13" s="1"/>
  <c r="S24" i="28" s="1"/>
  <c r="X8" i="13"/>
  <c r="AA8" i="13" s="1"/>
  <c r="S6" i="28" s="1"/>
  <c r="X15" i="13"/>
  <c r="AA15" i="13" s="1"/>
  <c r="S8" i="28" s="1"/>
  <c r="T15" i="24"/>
  <c r="T57" i="24" s="1"/>
  <c r="X32" i="13"/>
  <c r="AA32" i="13" s="1"/>
  <c r="X39" i="13"/>
  <c r="AA39" i="13" s="1"/>
  <c r="S30" i="28" s="1"/>
  <c r="X22" i="13"/>
  <c r="AA22" i="13" s="1"/>
  <c r="S14" i="28" s="1"/>
  <c r="X18" i="13"/>
  <c r="AA18" i="13" s="1"/>
  <c r="X25" i="13"/>
  <c r="AA25" i="13" s="1"/>
  <c r="S18" i="28" s="1"/>
  <c r="X37" i="13"/>
  <c r="AA37" i="13" s="1"/>
  <c r="S29" i="28" s="1"/>
  <c r="X24" i="13"/>
  <c r="AA24" i="13" s="1"/>
  <c r="S17" i="28" s="1"/>
  <c r="X19" i="13"/>
  <c r="AA19" i="13" s="1"/>
  <c r="T19" i="24"/>
  <c r="T61" i="24" s="1"/>
  <c r="X29" i="13"/>
  <c r="AA29" i="13" s="1"/>
  <c r="S23" i="28" s="1"/>
  <c r="X23" i="13"/>
  <c r="AA23" i="13" s="1"/>
  <c r="X9" i="13"/>
  <c r="AA9" i="13" s="1"/>
  <c r="S7" i="28" s="1"/>
  <c r="X13" i="13"/>
  <c r="AA13" i="13" s="1"/>
  <c r="X20" i="13"/>
  <c r="AA20" i="13" s="1"/>
  <c r="S12" i="28" s="1"/>
  <c r="X27" i="13"/>
  <c r="AA27" i="13" s="1"/>
  <c r="X21" i="13"/>
  <c r="AA21" i="13" s="1"/>
  <c r="S13" i="28" s="1"/>
  <c r="X17" i="13"/>
  <c r="AA17" i="13" s="1"/>
  <c r="X7" i="13"/>
  <c r="AA7" i="13" s="1"/>
  <c r="S5" i="28" s="1"/>
  <c r="W12" i="12"/>
  <c r="W33" i="12"/>
  <c r="W35" i="12"/>
  <c r="W41" i="12"/>
  <c r="W14" i="12"/>
  <c r="W28" i="12"/>
  <c r="W26" i="12"/>
  <c r="W31" i="12"/>
  <c r="W40" i="12"/>
  <c r="W38" i="12"/>
  <c r="W11" i="12"/>
  <c r="W36" i="12"/>
  <c r="W17" i="12"/>
  <c r="X17" i="12" s="1"/>
  <c r="AA17" i="12" s="1"/>
  <c r="W37" i="12"/>
  <c r="X37" i="12" s="1"/>
  <c r="AA37" i="12" s="1"/>
  <c r="W18" i="12"/>
  <c r="X18" i="12" s="1"/>
  <c r="AA18" i="12" s="1"/>
  <c r="W7" i="12"/>
  <c r="X7" i="12" s="1"/>
  <c r="AA7" i="12" s="1"/>
  <c r="W39" i="12"/>
  <c r="X39" i="12" s="1"/>
  <c r="AA39" i="12" s="1"/>
  <c r="W20" i="12"/>
  <c r="X20" i="12" s="1"/>
  <c r="AA20" i="12" s="1"/>
  <c r="AG57" i="6"/>
  <c r="AG55" i="9"/>
  <c r="AG55" i="8"/>
  <c r="AG55" i="7"/>
  <c r="W29" i="12"/>
  <c r="X29" i="12" s="1"/>
  <c r="W16" i="12"/>
  <c r="X16" i="12" s="1"/>
  <c r="AA16" i="12" s="1"/>
  <c r="E45" i="5"/>
  <c r="X45" i="13"/>
  <c r="X45" i="12"/>
  <c r="X45" i="11"/>
  <c r="X45" i="10"/>
  <c r="W6" i="12"/>
  <c r="X6" i="12" s="1"/>
  <c r="AA6" i="12" s="1"/>
  <c r="W22" i="12"/>
  <c r="X22" i="12" s="1"/>
  <c r="AA22" i="12" s="1"/>
  <c r="W5" i="12"/>
  <c r="W27" i="12"/>
  <c r="X27" i="12" s="1"/>
  <c r="AA27" i="12" s="1"/>
  <c r="W34" i="12"/>
  <c r="X34" i="12" s="1"/>
  <c r="AA34" i="12" s="1"/>
  <c r="W23" i="12"/>
  <c r="X23" i="12" s="1"/>
  <c r="AA23" i="12" s="1"/>
  <c r="W9" i="12"/>
  <c r="X9" i="12" s="1"/>
  <c r="AA9" i="12" s="1"/>
  <c r="W32" i="12"/>
  <c r="X32" i="12" s="1"/>
  <c r="AA32" i="12" s="1"/>
  <c r="W8" i="12"/>
  <c r="X8" i="12" s="1"/>
  <c r="AA8" i="12" s="1"/>
  <c r="W21" i="12"/>
  <c r="X21" i="12" s="1"/>
  <c r="AA21" i="12" s="1"/>
  <c r="W10" i="12"/>
  <c r="X10" i="12" s="1"/>
  <c r="AA10" i="12" s="1"/>
  <c r="W24" i="12"/>
  <c r="X24" i="12" s="1"/>
  <c r="AA24" i="12" s="1"/>
  <c r="E29" i="5"/>
  <c r="W13" i="12"/>
  <c r="X13" i="12" s="1"/>
  <c r="AA13" i="12" s="1"/>
  <c r="S21" i="28" l="1"/>
  <c r="S16" i="28"/>
  <c r="S26" i="28"/>
  <c r="S15" i="28"/>
  <c r="S25" i="28"/>
  <c r="S20" i="28"/>
  <c r="T25" i="24"/>
  <c r="T67" i="24" s="1"/>
  <c r="Y10" i="8"/>
  <c r="X10" i="23" s="1"/>
  <c r="X62" i="23" s="1"/>
  <c r="Y29" i="8"/>
  <c r="X29" i="23" s="1"/>
  <c r="X81" i="23" s="1"/>
  <c r="Y20" i="8"/>
  <c r="Y42" i="8"/>
  <c r="X42" i="23" s="1"/>
  <c r="X94" i="23" s="1"/>
  <c r="U43" i="23"/>
  <c r="U95" i="23" s="1"/>
  <c r="U50" i="23"/>
  <c r="U102" i="23" s="1"/>
  <c r="U49" i="23"/>
  <c r="U101" i="23" s="1"/>
  <c r="G11" i="26"/>
  <c r="G7" i="26"/>
  <c r="G13" i="26" s="1"/>
  <c r="AD53" i="8"/>
  <c r="Y25" i="8"/>
  <c r="Y24" i="8"/>
  <c r="X24" i="23" s="1"/>
  <c r="X76" i="23" s="1"/>
  <c r="Y7" i="8"/>
  <c r="X7" i="23" s="1"/>
  <c r="X59" i="23" s="1"/>
  <c r="Y11" i="8"/>
  <c r="X11" i="23" s="1"/>
  <c r="X63" i="23" s="1"/>
  <c r="U47" i="23"/>
  <c r="U99" i="23" s="1"/>
  <c r="U6" i="23"/>
  <c r="U58" i="23" s="1"/>
  <c r="AB6" i="8"/>
  <c r="U9" i="23"/>
  <c r="U61" i="23" s="1"/>
  <c r="Y17" i="8"/>
  <c r="X17" i="23" s="1"/>
  <c r="X69" i="23" s="1"/>
  <c r="U36" i="23"/>
  <c r="U88" i="23" s="1"/>
  <c r="AB36" i="8"/>
  <c r="T30" i="24"/>
  <c r="T72" i="24" s="1"/>
  <c r="X30" i="23"/>
  <c r="X82" i="23" s="1"/>
  <c r="Q11" i="25"/>
  <c r="Q7" i="25"/>
  <c r="Q13" i="25" s="1"/>
  <c r="Q9" i="25"/>
  <c r="X22" i="23"/>
  <c r="X74" i="23" s="1"/>
  <c r="L7" i="25"/>
  <c r="L13" i="25" s="1"/>
  <c r="L11" i="25"/>
  <c r="L9" i="25"/>
  <c r="F7" i="25"/>
  <c r="F13" i="25" s="1"/>
  <c r="F11" i="25"/>
  <c r="F9" i="25"/>
  <c r="Y31" i="8"/>
  <c r="X31" i="23" s="1"/>
  <c r="X83" i="23" s="1"/>
  <c r="Y27" i="8"/>
  <c r="X27" i="23" s="1"/>
  <c r="X79" i="23" s="1"/>
  <c r="Y28" i="8"/>
  <c r="X28" i="23" s="1"/>
  <c r="X80" i="23" s="1"/>
  <c r="AB42" i="8"/>
  <c r="U42" i="23"/>
  <c r="U94" i="23" s="1"/>
  <c r="AB51" i="8"/>
  <c r="U51" i="23"/>
  <c r="U103" i="23" s="1"/>
  <c r="Y18" i="8"/>
  <c r="X18" i="23" s="1"/>
  <c r="X70" i="23" s="1"/>
  <c r="Y33" i="8"/>
  <c r="X33" i="23" s="1"/>
  <c r="X85" i="23" s="1"/>
  <c r="AB37" i="8"/>
  <c r="AA29" i="12"/>
  <c r="Y47" i="8"/>
  <c r="X47" i="23" s="1"/>
  <c r="X99" i="23" s="1"/>
  <c r="Y41" i="8"/>
  <c r="X41" i="23" s="1"/>
  <c r="X93" i="23" s="1"/>
  <c r="Y43" i="8"/>
  <c r="X43" i="23" s="1"/>
  <c r="X95" i="23" s="1"/>
  <c r="E7" i="25"/>
  <c r="E13" i="25" s="1"/>
  <c r="E11" i="25"/>
  <c r="E9" i="25"/>
  <c r="U27" i="23"/>
  <c r="U79" i="23" s="1"/>
  <c r="AB27" i="8"/>
  <c r="Y12" i="8"/>
  <c r="X12" i="23" s="1"/>
  <c r="X64" i="23" s="1"/>
  <c r="T9" i="25"/>
  <c r="T11" i="25"/>
  <c r="T7" i="25"/>
  <c r="T13" i="25" s="1"/>
  <c r="Y14" i="8"/>
  <c r="Y46" i="8"/>
  <c r="X46" i="23" s="1"/>
  <c r="X98" i="23" s="1"/>
  <c r="U12" i="23"/>
  <c r="U64" i="23" s="1"/>
  <c r="AB12" i="8"/>
  <c r="AB24" i="8"/>
  <c r="U24" i="23"/>
  <c r="U76" i="23" s="1"/>
  <c r="U7" i="23"/>
  <c r="U59" i="23" s="1"/>
  <c r="AB7" i="8"/>
  <c r="W6" i="13"/>
  <c r="X6" i="13" s="1"/>
  <c r="AA6" i="13" s="1"/>
  <c r="AA13" i="16" s="1"/>
  <c r="L13" i="21" s="1"/>
  <c r="O13" i="21" s="1"/>
  <c r="X15" i="23"/>
  <c r="X67" i="23" s="1"/>
  <c r="M5" i="23"/>
  <c r="M57" i="23" s="1"/>
  <c r="M53" i="8"/>
  <c r="E7" i="26"/>
  <c r="E13" i="26" s="1"/>
  <c r="E9" i="26"/>
  <c r="G15" i="26"/>
  <c r="G14" i="26"/>
  <c r="Y35" i="8"/>
  <c r="X35" i="23" s="1"/>
  <c r="X87" i="23" s="1"/>
  <c r="Y49" i="8"/>
  <c r="X49" i="23" s="1"/>
  <c r="X101" i="23" s="1"/>
  <c r="AB53" i="7"/>
  <c r="U16" i="23"/>
  <c r="U68" i="23" s="1"/>
  <c r="U5" i="23"/>
  <c r="U57" i="23" s="1"/>
  <c r="V53" i="8"/>
  <c r="AB5" i="8"/>
  <c r="U45" i="23"/>
  <c r="U97" i="23" s="1"/>
  <c r="S53" i="8"/>
  <c r="U21" i="23"/>
  <c r="U73" i="23" s="1"/>
  <c r="AB21" i="8"/>
  <c r="K9" i="26"/>
  <c r="U30" i="23"/>
  <c r="U82" i="23" s="1"/>
  <c r="AB30" i="8"/>
  <c r="M11" i="25"/>
  <c r="M7" i="25"/>
  <c r="M13" i="25" s="1"/>
  <c r="X5" i="23"/>
  <c r="X57" i="23" s="1"/>
  <c r="Y32" i="8"/>
  <c r="Y44" i="8"/>
  <c r="X44" i="23" s="1"/>
  <c r="X96" i="23" s="1"/>
  <c r="AB38" i="8"/>
  <c r="AB46" i="8"/>
  <c r="U46" i="23"/>
  <c r="U98" i="23" s="1"/>
  <c r="U44" i="23"/>
  <c r="U96" i="23" s="1"/>
  <c r="AB23" i="8"/>
  <c r="U23" i="23"/>
  <c r="U75" i="23" s="1"/>
  <c r="Z43" i="12"/>
  <c r="K11" i="26"/>
  <c r="K7" i="26"/>
  <c r="K13" i="26" s="1"/>
  <c r="X19" i="23"/>
  <c r="X71" i="23" s="1"/>
  <c r="AB40" i="8"/>
  <c r="X40" i="23"/>
  <c r="X92" i="23" s="1"/>
  <c r="J7" i="25"/>
  <c r="J13" i="25" s="1"/>
  <c r="J9" i="25"/>
  <c r="J11" i="25"/>
  <c r="E11" i="26"/>
  <c r="U18" i="23"/>
  <c r="U70" i="23" s="1"/>
  <c r="AB18" i="8"/>
  <c r="Y13" i="8"/>
  <c r="X13" i="23" s="1"/>
  <c r="X65" i="23" s="1"/>
  <c r="B7" i="25"/>
  <c r="B13" i="25" s="1"/>
  <c r="B9" i="25"/>
  <c r="B11" i="25"/>
  <c r="Y48" i="8"/>
  <c r="Y26" i="8"/>
  <c r="U10" i="23"/>
  <c r="U62" i="23" s="1"/>
  <c r="AB10" i="8"/>
  <c r="U8" i="23"/>
  <c r="U60" i="23" s="1"/>
  <c r="AB8" i="8"/>
  <c r="AB19" i="8"/>
  <c r="U19" i="23"/>
  <c r="U71" i="23" s="1"/>
  <c r="Y45" i="8"/>
  <c r="X45" i="23" s="1"/>
  <c r="X97" i="23" s="1"/>
  <c r="Y34" i="8"/>
  <c r="AB17" i="8"/>
  <c r="V43" i="12"/>
  <c r="R5" i="23"/>
  <c r="R57" i="23" s="1"/>
  <c r="R53" i="8"/>
  <c r="S58" i="8" s="1"/>
  <c r="F15" i="26"/>
  <c r="F14" i="26"/>
  <c r="Y53" i="9"/>
  <c r="G11" i="25"/>
  <c r="G9" i="25"/>
  <c r="G7" i="25"/>
  <c r="G13" i="25" s="1"/>
  <c r="Y50" i="8"/>
  <c r="X50" i="23" s="1"/>
  <c r="X102" i="23" s="1"/>
  <c r="W10" i="13"/>
  <c r="X10" i="13" s="1"/>
  <c r="AA10" i="13" s="1"/>
  <c r="Y9" i="8"/>
  <c r="X9" i="23" s="1"/>
  <c r="X61" i="23" s="1"/>
  <c r="U33" i="23"/>
  <c r="U85" i="23" s="1"/>
  <c r="AB33" i="8"/>
  <c r="M9" i="25"/>
  <c r="Y16" i="8"/>
  <c r="X16" i="23" s="1"/>
  <c r="X68" i="23" s="1"/>
  <c r="U41" i="23"/>
  <c r="U93" i="23" s="1"/>
  <c r="AB41" i="8"/>
  <c r="U11" i="23"/>
  <c r="U63" i="23" s="1"/>
  <c r="AB11" i="8"/>
  <c r="AB29" i="8"/>
  <c r="U29" i="23"/>
  <c r="U81" i="23" s="1"/>
  <c r="W5" i="13"/>
  <c r="T5" i="24" s="1"/>
  <c r="T47" i="24" s="1"/>
  <c r="AA43" i="11"/>
  <c r="B9" i="26"/>
  <c r="B7" i="26"/>
  <c r="B13" i="26" s="1"/>
  <c r="P43" i="12"/>
  <c r="AA25" i="12"/>
  <c r="AA57" i="17"/>
  <c r="AA111" i="17"/>
  <c r="X14" i="12"/>
  <c r="AA14" i="12" s="1"/>
  <c r="T14" i="24"/>
  <c r="T56" i="24" s="1"/>
  <c r="AA108" i="17"/>
  <c r="AA170" i="16"/>
  <c r="AG170" i="16" s="1"/>
  <c r="AA171" i="16"/>
  <c r="AG171" i="16" s="1"/>
  <c r="AA180" i="16"/>
  <c r="AG180" i="16" s="1"/>
  <c r="AA181" i="16"/>
  <c r="AG181" i="16" s="1"/>
  <c r="AA104" i="17"/>
  <c r="AA81" i="17"/>
  <c r="AA97" i="17"/>
  <c r="AA113" i="17"/>
  <c r="AA60" i="17"/>
  <c r="AA140" i="16"/>
  <c r="AG140" i="16" s="1"/>
  <c r="AA59" i="17"/>
  <c r="AA55" i="17"/>
  <c r="X36" i="12"/>
  <c r="AA36" i="12" s="1"/>
  <c r="T36" i="24"/>
  <c r="T78" i="24" s="1"/>
  <c r="X41" i="12"/>
  <c r="AA41" i="12" s="1"/>
  <c r="T41" i="24"/>
  <c r="T83" i="24" s="1"/>
  <c r="AA168" i="16"/>
  <c r="AG168" i="16" s="1"/>
  <c r="AA178" i="16"/>
  <c r="AG178" i="16" s="1"/>
  <c r="AA179" i="16"/>
  <c r="AG179" i="16" s="1"/>
  <c r="AA188" i="16"/>
  <c r="AG188" i="16" s="1"/>
  <c r="AA189" i="16"/>
  <c r="AG189" i="16" s="1"/>
  <c r="AA166" i="16"/>
  <c r="AG166" i="16" s="1"/>
  <c r="AA83" i="17"/>
  <c r="AA99" i="17"/>
  <c r="AA38" i="16"/>
  <c r="AG38" i="16" s="1"/>
  <c r="AA144" i="16"/>
  <c r="AG144" i="16" s="1"/>
  <c r="AA148" i="16"/>
  <c r="AG148" i="16" s="1"/>
  <c r="AA63" i="17"/>
  <c r="T21" i="24"/>
  <c r="T63" i="24" s="1"/>
  <c r="T9" i="24"/>
  <c r="T51" i="24" s="1"/>
  <c r="T24" i="24"/>
  <c r="T66" i="24" s="1"/>
  <c r="T18" i="24"/>
  <c r="T60" i="24" s="1"/>
  <c r="T32" i="24"/>
  <c r="T74" i="24" s="1"/>
  <c r="T34" i="24"/>
  <c r="T76" i="24" s="1"/>
  <c r="X11" i="12"/>
  <c r="AA11" i="12" s="1"/>
  <c r="T11" i="24"/>
  <c r="T53" i="24" s="1"/>
  <c r="X35" i="12"/>
  <c r="AA35" i="12" s="1"/>
  <c r="T35" i="24"/>
  <c r="T77" i="24" s="1"/>
  <c r="AA98" i="16"/>
  <c r="L98" i="21" s="1"/>
  <c r="O98" i="21" s="1"/>
  <c r="AA176" i="16"/>
  <c r="AG176" i="16" s="1"/>
  <c r="AA186" i="16"/>
  <c r="AG186" i="16" s="1"/>
  <c r="AA187" i="16"/>
  <c r="AG187" i="16" s="1"/>
  <c r="AA196" i="16"/>
  <c r="AG196" i="16" s="1"/>
  <c r="AA197" i="16"/>
  <c r="AG197" i="16" s="1"/>
  <c r="AA174" i="16"/>
  <c r="AG174" i="16" s="1"/>
  <c r="AA85" i="17"/>
  <c r="AA101" i="17"/>
  <c r="AA58" i="17"/>
  <c r="AA141" i="16"/>
  <c r="AG141" i="16" s="1"/>
  <c r="X38" i="12"/>
  <c r="AA38" i="12" s="1"/>
  <c r="T38" i="24"/>
  <c r="T80" i="24" s="1"/>
  <c r="X33" i="12"/>
  <c r="AA33" i="12" s="1"/>
  <c r="T33" i="24"/>
  <c r="T75" i="24" s="1"/>
  <c r="AA84" i="16"/>
  <c r="AG84" i="16" s="1"/>
  <c r="AA183" i="16"/>
  <c r="AG183" i="16" s="1"/>
  <c r="AA184" i="16"/>
  <c r="AG184" i="16" s="1"/>
  <c r="AA194" i="16"/>
  <c r="AG194" i="16" s="1"/>
  <c r="AA195" i="16"/>
  <c r="AG195" i="16" s="1"/>
  <c r="AA82" i="17"/>
  <c r="AA80" i="17"/>
  <c r="AA182" i="16"/>
  <c r="AG182" i="16" s="1"/>
  <c r="AA87" i="17"/>
  <c r="AA103" i="17"/>
  <c r="AA137" i="16"/>
  <c r="AG137" i="16" s="1"/>
  <c r="AA64" i="17"/>
  <c r="AA2" i="17"/>
  <c r="T27" i="24"/>
  <c r="T69" i="24" s="1"/>
  <c r="T23" i="24"/>
  <c r="T65" i="24" s="1"/>
  <c r="T16" i="24"/>
  <c r="T58" i="24" s="1"/>
  <c r="X40" i="12"/>
  <c r="AA40" i="12" s="1"/>
  <c r="T40" i="24"/>
  <c r="T82" i="24" s="1"/>
  <c r="X12" i="12"/>
  <c r="AA12" i="12" s="1"/>
  <c r="T12" i="24"/>
  <c r="T54" i="24" s="1"/>
  <c r="AA92" i="16"/>
  <c r="AG92" i="16" s="1"/>
  <c r="AA191" i="16"/>
  <c r="AG191" i="16" s="1"/>
  <c r="AA192" i="16"/>
  <c r="AG192" i="16" s="1"/>
  <c r="AA86" i="17"/>
  <c r="AA84" i="17"/>
  <c r="AA98" i="17"/>
  <c r="AA96" i="17"/>
  <c r="AA190" i="16"/>
  <c r="AG190" i="16" s="1"/>
  <c r="AA89" i="17"/>
  <c r="AA105" i="17"/>
  <c r="AA138" i="16"/>
  <c r="AG138" i="16" s="1"/>
  <c r="AA150" i="16"/>
  <c r="AG150" i="16" s="1"/>
  <c r="AA51" i="16"/>
  <c r="AG51" i="16" s="1"/>
  <c r="X31" i="12"/>
  <c r="AA31" i="12" s="1"/>
  <c r="T31" i="24"/>
  <c r="T73" i="24" s="1"/>
  <c r="AA100" i="16"/>
  <c r="AG100" i="16" s="1"/>
  <c r="AA167" i="16"/>
  <c r="AG167" i="16" s="1"/>
  <c r="AA90" i="17"/>
  <c r="AA102" i="17"/>
  <c r="AA100" i="17"/>
  <c r="AA169" i="16"/>
  <c r="AG169" i="16" s="1"/>
  <c r="AA112" i="17"/>
  <c r="AA94" i="17"/>
  <c r="AA91" i="17"/>
  <c r="AA107" i="17"/>
  <c r="AA145" i="16"/>
  <c r="AG145" i="16" s="1"/>
  <c r="AA62" i="17"/>
  <c r="T7" i="24"/>
  <c r="T49" i="24" s="1"/>
  <c r="T20" i="24"/>
  <c r="T62" i="24" s="1"/>
  <c r="T29" i="24"/>
  <c r="T71" i="24" s="1"/>
  <c r="T37" i="24"/>
  <c r="T79" i="24" s="1"/>
  <c r="T22" i="24"/>
  <c r="T64" i="24" s="1"/>
  <c r="T8" i="24"/>
  <c r="T50" i="24" s="1"/>
  <c r="X26" i="12"/>
  <c r="AA26" i="12" s="1"/>
  <c r="T26" i="24"/>
  <c r="T68" i="24" s="1"/>
  <c r="AA87" i="16"/>
  <c r="L87" i="21" s="1"/>
  <c r="O87" i="21" s="1"/>
  <c r="AA78" i="16"/>
  <c r="AG78" i="16" s="1"/>
  <c r="AA175" i="16"/>
  <c r="AG175" i="16" s="1"/>
  <c r="AA106" i="17"/>
  <c r="AA177" i="16"/>
  <c r="AG177" i="16" s="1"/>
  <c r="AA164" i="16"/>
  <c r="AG164" i="16" s="1"/>
  <c r="AA165" i="16"/>
  <c r="AG165" i="16" s="1"/>
  <c r="AA185" i="16"/>
  <c r="AG185" i="16" s="1"/>
  <c r="AA110" i="17"/>
  <c r="AA93" i="17"/>
  <c r="AA109" i="17"/>
  <c r="AA139" i="16"/>
  <c r="AG139" i="16" s="1"/>
  <c r="AA53" i="17"/>
  <c r="AA9" i="17"/>
  <c r="X28" i="12"/>
  <c r="AA28" i="12" s="1"/>
  <c r="T28" i="24"/>
  <c r="T70" i="24" s="1"/>
  <c r="AA95" i="16"/>
  <c r="AG95" i="16" s="1"/>
  <c r="AA91" i="16"/>
  <c r="AG91" i="16" s="1"/>
  <c r="AA92" i="17"/>
  <c r="AA193" i="16"/>
  <c r="AG193" i="16" s="1"/>
  <c r="AA163" i="16"/>
  <c r="AG163" i="16" s="1"/>
  <c r="AA172" i="16"/>
  <c r="AG172" i="16" s="1"/>
  <c r="AA173" i="16"/>
  <c r="AG173" i="16" s="1"/>
  <c r="AA88" i="17"/>
  <c r="AA79" i="17"/>
  <c r="AA95" i="17"/>
  <c r="AA147" i="16"/>
  <c r="AG147" i="16" s="1"/>
  <c r="AA55" i="16"/>
  <c r="AG55" i="16" s="1"/>
  <c r="T17" i="24"/>
  <c r="T59" i="24" s="1"/>
  <c r="T13" i="24"/>
  <c r="T55" i="24" s="1"/>
  <c r="T39" i="24"/>
  <c r="T81" i="24" s="1"/>
  <c r="AA54" i="17"/>
  <c r="AA149" i="16"/>
  <c r="AG149" i="16" s="1"/>
  <c r="AA61" i="17"/>
  <c r="AA143" i="16"/>
  <c r="AG143" i="16" s="1"/>
  <c r="AA56" i="17"/>
  <c r="AA142" i="16"/>
  <c r="AG142" i="16" s="1"/>
  <c r="AA65" i="17"/>
  <c r="AA146" i="16"/>
  <c r="AG146" i="16" s="1"/>
  <c r="AA66" i="17"/>
  <c r="AA50" i="16"/>
  <c r="AG50" i="16" s="1"/>
  <c r="L100" i="21"/>
  <c r="O100" i="21" s="1"/>
  <c r="AM57" i="6"/>
  <c r="AM55" i="9"/>
  <c r="AM55" i="7"/>
  <c r="AM55" i="8"/>
  <c r="X5" i="12"/>
  <c r="W43" i="12"/>
  <c r="AA45" i="12"/>
  <c r="AA45" i="13"/>
  <c r="AA45" i="10"/>
  <c r="AA45" i="11"/>
  <c r="AA4" i="16" l="1"/>
  <c r="AG4" i="16" s="1"/>
  <c r="AA5" i="16"/>
  <c r="AG5" i="16" s="1"/>
  <c r="AA54" i="16"/>
  <c r="AG54" i="16" s="1"/>
  <c r="AA12" i="16"/>
  <c r="AG12" i="16" s="1"/>
  <c r="AA9" i="16"/>
  <c r="L9" i="21" s="1"/>
  <c r="O9" i="21" s="1"/>
  <c r="AA56" i="16"/>
  <c r="AG56" i="16" s="1"/>
  <c r="AA6" i="17"/>
  <c r="AA10" i="16"/>
  <c r="AG10" i="16" s="1"/>
  <c r="AA40" i="16"/>
  <c r="L40" i="21" s="1"/>
  <c r="O40" i="21" s="1"/>
  <c r="AA57" i="16"/>
  <c r="AG57" i="16" s="1"/>
  <c r="AA7" i="17"/>
  <c r="AA6" i="16"/>
  <c r="AG6" i="16" s="1"/>
  <c r="AA11" i="16"/>
  <c r="AG11" i="16" s="1"/>
  <c r="AA2" i="16"/>
  <c r="L2" i="21" s="1"/>
  <c r="AA7" i="16"/>
  <c r="AG7" i="16" s="1"/>
  <c r="AA53" i="16"/>
  <c r="AG53" i="16" s="1"/>
  <c r="AA8" i="16"/>
  <c r="AG8" i="16" s="1"/>
  <c r="AA52" i="16"/>
  <c r="AG52" i="16" s="1"/>
  <c r="AA8" i="17"/>
  <c r="AA39" i="16"/>
  <c r="AG39" i="16" s="1"/>
  <c r="T6" i="24"/>
  <c r="T48" i="24" s="1"/>
  <c r="AA41" i="16"/>
  <c r="AG41" i="16" s="1"/>
  <c r="AA3" i="17"/>
  <c r="AA5" i="17"/>
  <c r="AA4" i="17"/>
  <c r="AA3" i="16"/>
  <c r="AG3" i="16" s="1"/>
  <c r="G11" i="28"/>
  <c r="G6" i="28"/>
  <c r="AA94" i="16"/>
  <c r="AG94" i="16" s="1"/>
  <c r="S9" i="28"/>
  <c r="AA75" i="16"/>
  <c r="AG75" i="16" s="1"/>
  <c r="AA85" i="16"/>
  <c r="AG85" i="16" s="1"/>
  <c r="AA86" i="16"/>
  <c r="L86" i="21" s="1"/>
  <c r="O86" i="21" s="1"/>
  <c r="AA106" i="16"/>
  <c r="L106" i="21" s="1"/>
  <c r="O106" i="21" s="1"/>
  <c r="AA77" i="16"/>
  <c r="AG77" i="16" s="1"/>
  <c r="AA26" i="17"/>
  <c r="AA96" i="16"/>
  <c r="AG96" i="16" s="1"/>
  <c r="AA90" i="16"/>
  <c r="AA74" i="16"/>
  <c r="L175" i="21" s="1"/>
  <c r="O175" i="21" s="1"/>
  <c r="AA83" i="16"/>
  <c r="L83" i="21" s="1"/>
  <c r="O83" i="21" s="1"/>
  <c r="AG9" i="16"/>
  <c r="AA97" i="16"/>
  <c r="L97" i="21" s="1"/>
  <c r="O97" i="21" s="1"/>
  <c r="AA105" i="16"/>
  <c r="AG105" i="16" s="1"/>
  <c r="AA89" i="16"/>
  <c r="AG89" i="16" s="1"/>
  <c r="T10" i="24"/>
  <c r="T52" i="24" s="1"/>
  <c r="AA101" i="16"/>
  <c r="L101" i="21" s="1"/>
  <c r="O101" i="21" s="1"/>
  <c r="L85" i="21"/>
  <c r="O85" i="21" s="1"/>
  <c r="L94" i="21"/>
  <c r="O94" i="21" s="1"/>
  <c r="AA102" i="16"/>
  <c r="L102" i="21" s="1"/>
  <c r="O102" i="21" s="1"/>
  <c r="AA99" i="16"/>
  <c r="L99" i="21" s="1"/>
  <c r="O99" i="21" s="1"/>
  <c r="S39" i="9"/>
  <c r="S39" i="23" s="1"/>
  <c r="S91" i="23" s="1"/>
  <c r="S49" i="9"/>
  <c r="S49" i="23" s="1"/>
  <c r="S101" i="23" s="1"/>
  <c r="S43" i="9"/>
  <c r="S43" i="23" s="1"/>
  <c r="S95" i="23" s="1"/>
  <c r="S11" i="9"/>
  <c r="S11" i="23" s="1"/>
  <c r="S63" i="23" s="1"/>
  <c r="S22" i="9"/>
  <c r="S22" i="23" s="1"/>
  <c r="S74" i="23" s="1"/>
  <c r="S27" i="9"/>
  <c r="S27" i="23" s="1"/>
  <c r="S79" i="23" s="1"/>
  <c r="S7" i="9"/>
  <c r="S7" i="23" s="1"/>
  <c r="S59" i="23" s="1"/>
  <c r="S33" i="9"/>
  <c r="S33" i="23" s="1"/>
  <c r="S85" i="23" s="1"/>
  <c r="S17" i="9"/>
  <c r="S17" i="23" s="1"/>
  <c r="S69" i="23" s="1"/>
  <c r="S46" i="9"/>
  <c r="S46" i="23" s="1"/>
  <c r="S98" i="23" s="1"/>
  <c r="S51" i="9"/>
  <c r="S51" i="23" s="1"/>
  <c r="S103" i="23" s="1"/>
  <c r="S42" i="9"/>
  <c r="S42" i="23" s="1"/>
  <c r="S94" i="23" s="1"/>
  <c r="S13" i="9"/>
  <c r="S13" i="23" s="1"/>
  <c r="S65" i="23" s="1"/>
  <c r="S34" i="9"/>
  <c r="S34" i="23" s="1"/>
  <c r="S86" i="23" s="1"/>
  <c r="S12" i="9"/>
  <c r="S12" i="23" s="1"/>
  <c r="S64" i="23" s="1"/>
  <c r="S28" i="9"/>
  <c r="S28" i="23" s="1"/>
  <c r="S80" i="23" s="1"/>
  <c r="S45" i="9"/>
  <c r="S45" i="23" s="1"/>
  <c r="S97" i="23" s="1"/>
  <c r="S41" i="9"/>
  <c r="S41" i="23" s="1"/>
  <c r="S93" i="23" s="1"/>
  <c r="S14" i="9"/>
  <c r="S14" i="23" s="1"/>
  <c r="S66" i="23" s="1"/>
  <c r="S9" i="9"/>
  <c r="S9" i="23" s="1"/>
  <c r="S61" i="23" s="1"/>
  <c r="S25" i="9"/>
  <c r="S25" i="23" s="1"/>
  <c r="S77" i="23" s="1"/>
  <c r="S20" i="9"/>
  <c r="S20" i="23" s="1"/>
  <c r="S72" i="23" s="1"/>
  <c r="S15" i="9"/>
  <c r="S15" i="23" s="1"/>
  <c r="S67" i="23" s="1"/>
  <c r="S21" i="9"/>
  <c r="S21" i="23" s="1"/>
  <c r="S73" i="23" s="1"/>
  <c r="S31" i="9"/>
  <c r="S31" i="23" s="1"/>
  <c r="S83" i="23" s="1"/>
  <c r="S19" i="9"/>
  <c r="S19" i="23" s="1"/>
  <c r="S71" i="23" s="1"/>
  <c r="S40" i="9"/>
  <c r="S40" i="23" s="1"/>
  <c r="S92" i="23" s="1"/>
  <c r="S30" i="9"/>
  <c r="S30" i="23" s="1"/>
  <c r="S82" i="23" s="1"/>
  <c r="S35" i="9"/>
  <c r="S35" i="23" s="1"/>
  <c r="S87" i="23" s="1"/>
  <c r="S24" i="9"/>
  <c r="S24" i="23" s="1"/>
  <c r="S76" i="23" s="1"/>
  <c r="S32" i="9"/>
  <c r="S32" i="23" s="1"/>
  <c r="S84" i="23" s="1"/>
  <c r="S47" i="9"/>
  <c r="S47" i="23" s="1"/>
  <c r="S99" i="23" s="1"/>
  <c r="S44" i="9"/>
  <c r="S44" i="23" s="1"/>
  <c r="S96" i="23" s="1"/>
  <c r="S18" i="9"/>
  <c r="S18" i="23" s="1"/>
  <c r="S70" i="23" s="1"/>
  <c r="S8" i="9"/>
  <c r="S8" i="23" s="1"/>
  <c r="S60" i="23" s="1"/>
  <c r="S6" i="9"/>
  <c r="S6" i="23" s="1"/>
  <c r="S58" i="23" s="1"/>
  <c r="S37" i="9"/>
  <c r="S37" i="23" s="1"/>
  <c r="S89" i="23" s="1"/>
  <c r="S50" i="9"/>
  <c r="S50" i="23" s="1"/>
  <c r="S102" i="23" s="1"/>
  <c r="S29" i="9"/>
  <c r="S29" i="23" s="1"/>
  <c r="S81" i="23" s="1"/>
  <c r="S16" i="9"/>
  <c r="S16" i="23" s="1"/>
  <c r="S68" i="23" s="1"/>
  <c r="S23" i="9"/>
  <c r="S23" i="23" s="1"/>
  <c r="S75" i="23" s="1"/>
  <c r="S5" i="9"/>
  <c r="S26" i="9"/>
  <c r="S26" i="23" s="1"/>
  <c r="S78" i="23" s="1"/>
  <c r="S36" i="9"/>
  <c r="S36" i="23" s="1"/>
  <c r="S88" i="23" s="1"/>
  <c r="S48" i="9"/>
  <c r="S48" i="23" s="1"/>
  <c r="S100" i="23" s="1"/>
  <c r="S10" i="9"/>
  <c r="S10" i="23" s="1"/>
  <c r="S62" i="23" s="1"/>
  <c r="S38" i="9"/>
  <c r="S38" i="23" s="1"/>
  <c r="S90" i="23" s="1"/>
  <c r="AB44" i="8"/>
  <c r="C11" i="25"/>
  <c r="C9" i="25"/>
  <c r="C7" i="25"/>
  <c r="C13" i="25" s="1"/>
  <c r="AB47" i="8"/>
  <c r="L38" i="21"/>
  <c r="O38" i="21" s="1"/>
  <c r="AA81" i="16"/>
  <c r="AG81" i="16" s="1"/>
  <c r="AA93" i="16"/>
  <c r="AG93" i="16" s="1"/>
  <c r="AA82" i="16"/>
  <c r="H9" i="25"/>
  <c r="H11" i="25"/>
  <c r="H7" i="25"/>
  <c r="H13" i="25" s="1"/>
  <c r="K11" i="25"/>
  <c r="AB45" i="8"/>
  <c r="AB31" i="8"/>
  <c r="X20" i="23"/>
  <c r="X72" i="23" s="1"/>
  <c r="AB20" i="8"/>
  <c r="AA108" i="16"/>
  <c r="AA79" i="16"/>
  <c r="AA104" i="16"/>
  <c r="AA109" i="16"/>
  <c r="AA110" i="16"/>
  <c r="AA107" i="16"/>
  <c r="AA103" i="16"/>
  <c r="AB49" i="8"/>
  <c r="AB28" i="8"/>
  <c r="M14" i="25"/>
  <c r="M15" i="25"/>
  <c r="G14" i="25"/>
  <c r="G15" i="25"/>
  <c r="E14" i="25"/>
  <c r="E15" i="25"/>
  <c r="Q14" i="25"/>
  <c r="Q15" i="25"/>
  <c r="AB9" i="8"/>
  <c r="AB35" i="8"/>
  <c r="AA76" i="16"/>
  <c r="AG76" i="16" s="1"/>
  <c r="AA80" i="16"/>
  <c r="AG80" i="16" s="1"/>
  <c r="X34" i="23"/>
  <c r="X86" i="23" s="1"/>
  <c r="AB34" i="8"/>
  <c r="AB26" i="8"/>
  <c r="X26" i="23"/>
  <c r="X78" i="23" s="1"/>
  <c r="AB14" i="8"/>
  <c r="X14" i="23"/>
  <c r="X66" i="23" s="1"/>
  <c r="N9" i="25" s="1"/>
  <c r="F15" i="25"/>
  <c r="F14" i="25"/>
  <c r="X48" i="23"/>
  <c r="X100" i="23" s="1"/>
  <c r="AB48" i="8"/>
  <c r="K14" i="26"/>
  <c r="K15" i="26"/>
  <c r="K7" i="25"/>
  <c r="K13" i="25" s="1"/>
  <c r="K9" i="25"/>
  <c r="E15" i="26"/>
  <c r="E14" i="26"/>
  <c r="X25" i="23"/>
  <c r="X77" i="23" s="1"/>
  <c r="AB25" i="8"/>
  <c r="AB50" i="8"/>
  <c r="AB13" i="8"/>
  <c r="AB53" i="8" s="1"/>
  <c r="AA88" i="16"/>
  <c r="L88" i="21" s="1"/>
  <c r="O88" i="21" s="1"/>
  <c r="J15" i="25"/>
  <c r="J14" i="25"/>
  <c r="X32" i="23"/>
  <c r="X84" i="23" s="1"/>
  <c r="AB32" i="8"/>
  <c r="AB16" i="8"/>
  <c r="B15" i="25"/>
  <c r="B14" i="25"/>
  <c r="Y53" i="8"/>
  <c r="T15" i="25"/>
  <c r="T14" i="25"/>
  <c r="L14" i="25"/>
  <c r="L15" i="25"/>
  <c r="AB43" i="8"/>
  <c r="J11" i="26"/>
  <c r="L11" i="26" s="1"/>
  <c r="L93" i="21"/>
  <c r="O93" i="21" s="1"/>
  <c r="AG2" i="16"/>
  <c r="B15" i="26"/>
  <c r="B14" i="26"/>
  <c r="AG87" i="16"/>
  <c r="X5" i="13"/>
  <c r="W43" i="13"/>
  <c r="AG98" i="16"/>
  <c r="L39" i="21"/>
  <c r="O39" i="21" s="1"/>
  <c r="AG40" i="16"/>
  <c r="L10" i="21"/>
  <c r="O10" i="21" s="1"/>
  <c r="L7" i="21"/>
  <c r="O7" i="21" s="1"/>
  <c r="L56" i="21"/>
  <c r="O56" i="21" s="1"/>
  <c r="L185" i="21"/>
  <c r="O185" i="21" s="1"/>
  <c r="AG83" i="16"/>
  <c r="L5" i="21"/>
  <c r="O5" i="21" s="1"/>
  <c r="L6" i="21"/>
  <c r="O6" i="21" s="1"/>
  <c r="L78" i="21"/>
  <c r="O78" i="21" s="1"/>
  <c r="L95" i="21"/>
  <c r="O95" i="21" s="1"/>
  <c r="L3" i="21"/>
  <c r="O3" i="21" s="1"/>
  <c r="L84" i="21"/>
  <c r="O84" i="21" s="1"/>
  <c r="AG101" i="16"/>
  <c r="AP4" i="16"/>
  <c r="AQ4" i="16" s="1"/>
  <c r="L55" i="21"/>
  <c r="O55" i="21" s="1"/>
  <c r="L196" i="21"/>
  <c r="O196" i="21" s="1"/>
  <c r="L163" i="21"/>
  <c r="O163" i="21" s="1"/>
  <c r="L52" i="21"/>
  <c r="O52" i="21" s="1"/>
  <c r="L181" i="21"/>
  <c r="O181" i="21" s="1"/>
  <c r="L167" i="21"/>
  <c r="O167" i="21" s="1"/>
  <c r="L57" i="21"/>
  <c r="O57" i="21" s="1"/>
  <c r="L75" i="21"/>
  <c r="O75" i="21" s="1"/>
  <c r="L173" i="21"/>
  <c r="O173" i="21" s="1"/>
  <c r="L187" i="21"/>
  <c r="O187" i="21" s="1"/>
  <c r="L174" i="21"/>
  <c r="O174" i="21" s="1"/>
  <c r="L176" i="21"/>
  <c r="O176" i="21" s="1"/>
  <c r="L50" i="21"/>
  <c r="O50" i="21" s="1"/>
  <c r="AG102" i="16"/>
  <c r="AC10" i="21"/>
  <c r="L74" i="21"/>
  <c r="O74" i="21" s="1"/>
  <c r="L179" i="21"/>
  <c r="O179" i="21" s="1"/>
  <c r="L184" i="21"/>
  <c r="O184" i="21" s="1"/>
  <c r="L178" i="21"/>
  <c r="O178" i="21" s="1"/>
  <c r="L188" i="21"/>
  <c r="O188" i="21" s="1"/>
  <c r="L195" i="21"/>
  <c r="O195" i="21" s="1"/>
  <c r="L4" i="21"/>
  <c r="O4" i="21" s="1"/>
  <c r="L11" i="21"/>
  <c r="O11" i="21" s="1"/>
  <c r="L92" i="21"/>
  <c r="O92" i="21" s="1"/>
  <c r="L12" i="21"/>
  <c r="O12" i="21" s="1"/>
  <c r="L77" i="21"/>
  <c r="O77" i="21" s="1"/>
  <c r="L165" i="21"/>
  <c r="O165" i="21" s="1"/>
  <c r="L194" i="21"/>
  <c r="O194" i="21" s="1"/>
  <c r="L171" i="21"/>
  <c r="O171" i="21" s="1"/>
  <c r="L182" i="21"/>
  <c r="O182" i="21" s="1"/>
  <c r="AG74" i="16"/>
  <c r="L54" i="21"/>
  <c r="O54" i="21" s="1"/>
  <c r="AG13" i="16"/>
  <c r="J7" i="26"/>
  <c r="J13" i="26" s="1"/>
  <c r="L189" i="21"/>
  <c r="O189" i="21" s="1"/>
  <c r="L177" i="21"/>
  <c r="O177" i="21" s="1"/>
  <c r="L8" i="21"/>
  <c r="O8" i="21" s="1"/>
  <c r="L191" i="21"/>
  <c r="O191" i="21" s="1"/>
  <c r="L180" i="21"/>
  <c r="O180" i="21" s="1"/>
  <c r="L168" i="21"/>
  <c r="O168" i="21" s="1"/>
  <c r="L193" i="21"/>
  <c r="O193" i="21" s="1"/>
  <c r="L190" i="21"/>
  <c r="O190" i="21" s="1"/>
  <c r="L183" i="21"/>
  <c r="O183" i="21" s="1"/>
  <c r="L172" i="21"/>
  <c r="O172" i="21" s="1"/>
  <c r="L41" i="21"/>
  <c r="O41" i="21" s="1"/>
  <c r="L53" i="21"/>
  <c r="O53" i="21" s="1"/>
  <c r="L105" i="21"/>
  <c r="O105" i="21" s="1"/>
  <c r="L197" i="21"/>
  <c r="O197" i="21" s="1"/>
  <c r="L164" i="21"/>
  <c r="O164" i="21" s="1"/>
  <c r="L91" i="21"/>
  <c r="O91" i="21" s="1"/>
  <c r="L166" i="21"/>
  <c r="O166" i="21" s="1"/>
  <c r="L170" i="21"/>
  <c r="O170" i="21" s="1"/>
  <c r="L169" i="21"/>
  <c r="O169" i="21" s="1"/>
  <c r="L192" i="21"/>
  <c r="O192" i="21" s="1"/>
  <c r="L186" i="21"/>
  <c r="O186" i="21" s="1"/>
  <c r="L51" i="21"/>
  <c r="O51" i="21" s="1"/>
  <c r="AA115" i="17"/>
  <c r="AA279" i="16"/>
  <c r="AG279" i="16" s="1"/>
  <c r="AA117" i="17"/>
  <c r="AA216" i="16"/>
  <c r="AA221" i="16"/>
  <c r="AA212" i="16"/>
  <c r="AA233" i="16"/>
  <c r="AA205" i="16"/>
  <c r="AA204" i="16"/>
  <c r="AA246" i="16"/>
  <c r="AA210" i="16"/>
  <c r="AA218" i="16"/>
  <c r="AA217" i="16"/>
  <c r="AA283" i="16"/>
  <c r="AG283" i="16" s="1"/>
  <c r="AA122" i="17"/>
  <c r="AA124" i="17"/>
  <c r="AA272" i="16"/>
  <c r="AA268" i="16"/>
  <c r="AA266" i="16"/>
  <c r="AA209" i="16"/>
  <c r="AA258" i="16"/>
  <c r="AA274" i="16"/>
  <c r="AA201" i="16"/>
  <c r="AA202" i="16"/>
  <c r="AA208" i="16"/>
  <c r="AA207" i="16"/>
  <c r="AA281" i="16"/>
  <c r="AG281" i="16" s="1"/>
  <c r="AA275" i="16"/>
  <c r="AG275" i="16" s="1"/>
  <c r="AA114" i="17"/>
  <c r="AA264" i="16"/>
  <c r="AA269" i="16"/>
  <c r="AA260" i="16"/>
  <c r="AA254" i="16"/>
  <c r="AA262" i="16"/>
  <c r="AA271" i="16"/>
  <c r="AA200" i="16"/>
  <c r="AA120" i="17"/>
  <c r="AA118" i="17"/>
  <c r="AA116" i="17"/>
  <c r="AA256" i="16"/>
  <c r="AA261" i="16"/>
  <c r="AA252" i="16"/>
  <c r="AA241" i="16"/>
  <c r="AA265" i="16"/>
  <c r="AA263" i="16"/>
  <c r="AA249" i="16"/>
  <c r="AA273" i="16"/>
  <c r="AA219" i="16"/>
  <c r="AA267" i="16"/>
  <c r="AA277" i="16"/>
  <c r="AG277" i="16" s="1"/>
  <c r="AA280" i="16"/>
  <c r="AG280" i="16" s="1"/>
  <c r="AA119" i="17"/>
  <c r="AA248" i="16"/>
  <c r="AA253" i="16"/>
  <c r="AA244" i="16"/>
  <c r="AA227" i="16"/>
  <c r="AA251" i="16"/>
  <c r="AA250" i="16"/>
  <c r="AA235" i="16"/>
  <c r="AA259" i="16"/>
  <c r="AA270" i="16"/>
  <c r="AA255" i="16"/>
  <c r="AA286" i="16"/>
  <c r="AG286" i="16" s="1"/>
  <c r="AA121" i="17"/>
  <c r="AA284" i="16"/>
  <c r="AG284" i="16" s="1"/>
  <c r="AA240" i="16"/>
  <c r="AA245" i="16"/>
  <c r="AA236" i="16"/>
  <c r="AA215" i="16"/>
  <c r="AA239" i="16"/>
  <c r="AA238" i="16"/>
  <c r="AA223" i="16"/>
  <c r="AA247" i="16"/>
  <c r="AA257" i="16"/>
  <c r="AA242" i="16"/>
  <c r="AA278" i="16"/>
  <c r="AG278" i="16" s="1"/>
  <c r="AA285" i="16"/>
  <c r="AG285" i="16" s="1"/>
  <c r="AA276" i="16"/>
  <c r="AG276" i="16" s="1"/>
  <c r="AA232" i="16"/>
  <c r="AA237" i="16"/>
  <c r="AA228" i="16"/>
  <c r="AA206" i="16"/>
  <c r="AA226" i="16"/>
  <c r="AA225" i="16"/>
  <c r="AA211" i="16"/>
  <c r="AA234" i="16"/>
  <c r="AA243" i="16"/>
  <c r="AA230" i="16"/>
  <c r="AA123" i="17"/>
  <c r="AA282" i="16"/>
  <c r="AG282" i="16" s="1"/>
  <c r="AA125" i="17"/>
  <c r="AA224" i="16"/>
  <c r="AA229" i="16"/>
  <c r="AA220" i="16"/>
  <c r="AA198" i="16"/>
  <c r="AA214" i="16"/>
  <c r="AA213" i="16"/>
  <c r="AA203" i="16"/>
  <c r="AA222" i="16"/>
  <c r="AA231" i="16"/>
  <c r="AA199" i="16"/>
  <c r="AA30" i="17"/>
  <c r="AA115" i="16"/>
  <c r="AG115" i="16" s="1"/>
  <c r="AA111" i="16"/>
  <c r="AG111" i="16" s="1"/>
  <c r="AA118" i="16"/>
  <c r="AG118" i="16" s="1"/>
  <c r="AA121" i="16"/>
  <c r="AG121" i="16" s="1"/>
  <c r="AA119" i="16"/>
  <c r="AG119" i="16" s="1"/>
  <c r="AA37" i="17"/>
  <c r="AA32" i="17"/>
  <c r="AA38" i="17"/>
  <c r="AA35" i="17"/>
  <c r="AA117" i="16"/>
  <c r="AG117" i="16" s="1"/>
  <c r="AA122" i="16"/>
  <c r="AG122" i="16" s="1"/>
  <c r="AA33" i="17"/>
  <c r="AA113" i="16"/>
  <c r="AG113" i="16" s="1"/>
  <c r="AA114" i="16"/>
  <c r="AG114" i="16" s="1"/>
  <c r="AA31" i="17"/>
  <c r="AA34" i="17"/>
  <c r="AA120" i="16"/>
  <c r="AG120" i="16" s="1"/>
  <c r="AA29" i="17"/>
  <c r="AA116" i="16"/>
  <c r="AG116" i="16" s="1"/>
  <c r="AA112" i="16"/>
  <c r="AG112" i="16" s="1"/>
  <c r="AA27" i="17"/>
  <c r="AA36" i="17"/>
  <c r="AA28" i="17"/>
  <c r="AA41" i="17"/>
  <c r="AA133" i="16"/>
  <c r="AG133" i="16" s="1"/>
  <c r="AA130" i="16"/>
  <c r="AG130" i="16" s="1"/>
  <c r="AA39" i="17"/>
  <c r="AA125" i="16"/>
  <c r="AG125" i="16" s="1"/>
  <c r="AA42" i="17"/>
  <c r="AA46" i="17"/>
  <c r="AA50" i="17"/>
  <c r="AA136" i="16"/>
  <c r="AG136" i="16" s="1"/>
  <c r="AA51" i="17"/>
  <c r="AA134" i="16"/>
  <c r="AG134" i="16" s="1"/>
  <c r="AA132" i="16"/>
  <c r="AG132" i="16" s="1"/>
  <c r="AA128" i="16"/>
  <c r="AG128" i="16" s="1"/>
  <c r="AA49" i="17"/>
  <c r="AA126" i="16"/>
  <c r="AG126" i="16" s="1"/>
  <c r="AA124" i="16"/>
  <c r="AG124" i="16" s="1"/>
  <c r="AA44" i="17"/>
  <c r="AA47" i="17"/>
  <c r="AA40" i="17"/>
  <c r="AA52" i="17"/>
  <c r="AA135" i="16"/>
  <c r="AG135" i="16" s="1"/>
  <c r="AA45" i="17"/>
  <c r="AA129" i="16"/>
  <c r="AG129" i="16" s="1"/>
  <c r="AA131" i="16"/>
  <c r="AG131" i="16" s="1"/>
  <c r="AA127" i="16"/>
  <c r="AG127" i="16" s="1"/>
  <c r="AA43" i="17"/>
  <c r="AA48" i="17"/>
  <c r="AA123" i="16"/>
  <c r="AG123" i="16" s="1"/>
  <c r="AA77" i="17"/>
  <c r="AA161" i="16"/>
  <c r="AG161" i="16" s="1"/>
  <c r="AA72" i="17"/>
  <c r="AA75" i="17"/>
  <c r="AA157" i="16"/>
  <c r="AG157" i="16" s="1"/>
  <c r="AA153" i="16"/>
  <c r="AG153" i="16" s="1"/>
  <c r="AA73" i="17"/>
  <c r="AA156" i="16"/>
  <c r="AG156" i="16" s="1"/>
  <c r="AA74" i="17"/>
  <c r="AA71" i="17"/>
  <c r="AA68" i="17"/>
  <c r="AA160" i="16"/>
  <c r="AG160" i="16" s="1"/>
  <c r="AA69" i="17"/>
  <c r="AA155" i="16"/>
  <c r="AG155" i="16" s="1"/>
  <c r="AA152" i="16"/>
  <c r="AG152" i="16" s="1"/>
  <c r="AA67" i="17"/>
  <c r="AA70" i="17"/>
  <c r="AA76" i="17"/>
  <c r="AA78" i="17"/>
  <c r="AA162" i="16"/>
  <c r="AG162" i="16" s="1"/>
  <c r="AA159" i="16"/>
  <c r="AG159" i="16" s="1"/>
  <c r="AA158" i="16"/>
  <c r="AG158" i="16" s="1"/>
  <c r="AA154" i="16"/>
  <c r="AG154" i="16" s="1"/>
  <c r="AA151" i="16"/>
  <c r="J9" i="26"/>
  <c r="AA289" i="16"/>
  <c r="AA287" i="16"/>
  <c r="AA296" i="16"/>
  <c r="AA297" i="16"/>
  <c r="AA288" i="16"/>
  <c r="AA298" i="16"/>
  <c r="AA293" i="16"/>
  <c r="AA295" i="16"/>
  <c r="AA292" i="16"/>
  <c r="AA294" i="16"/>
  <c r="AA291" i="16"/>
  <c r="AA290" i="16"/>
  <c r="O2" i="21"/>
  <c r="X43" i="12"/>
  <c r="AA5" i="12"/>
  <c r="AA43" i="12" s="1"/>
  <c r="AG86" i="16" l="1"/>
  <c r="AG106" i="16"/>
  <c r="AG97" i="16"/>
  <c r="L76" i="21"/>
  <c r="O76" i="21" s="1"/>
  <c r="L81" i="21"/>
  <c r="O81" i="21" s="1"/>
  <c r="AG90" i="16"/>
  <c r="L90" i="21"/>
  <c r="O90" i="21" s="1"/>
  <c r="AG99" i="16"/>
  <c r="L89" i="21"/>
  <c r="O89" i="21" s="1"/>
  <c r="L96" i="21"/>
  <c r="O96" i="21" s="1"/>
  <c r="AG88" i="16"/>
  <c r="N15" i="25"/>
  <c r="N14" i="25"/>
  <c r="AG108" i="16"/>
  <c r="L108" i="21"/>
  <c r="O108" i="21" s="1"/>
  <c r="H14" i="25"/>
  <c r="H15" i="25"/>
  <c r="AG82" i="16"/>
  <c r="L82" i="21"/>
  <c r="O82" i="21" s="1"/>
  <c r="N11" i="25"/>
  <c r="L103" i="21"/>
  <c r="O103" i="21" s="1"/>
  <c r="AG103" i="16"/>
  <c r="N7" i="25"/>
  <c r="N13" i="25" s="1"/>
  <c r="S5" i="23"/>
  <c r="S57" i="23" s="1"/>
  <c r="S53" i="9"/>
  <c r="AG107" i="16"/>
  <c r="L107" i="21"/>
  <c r="O107" i="21" s="1"/>
  <c r="L7" i="26"/>
  <c r="L13" i="26" s="1"/>
  <c r="L80" i="21"/>
  <c r="O80" i="21" s="1"/>
  <c r="AG110" i="16"/>
  <c r="L110" i="21"/>
  <c r="O110" i="21" s="1"/>
  <c r="K14" i="25"/>
  <c r="K15" i="25"/>
  <c r="L109" i="21"/>
  <c r="O109" i="21" s="1"/>
  <c r="AG109" i="16"/>
  <c r="L104" i="21"/>
  <c r="O104" i="21" s="1"/>
  <c r="AG104" i="16"/>
  <c r="AG79" i="16"/>
  <c r="L79" i="21"/>
  <c r="O79" i="21" s="1"/>
  <c r="C15" i="25"/>
  <c r="C14" i="25"/>
  <c r="AA5" i="13"/>
  <c r="X43" i="13"/>
  <c r="T10" i="21"/>
  <c r="W10" i="21"/>
  <c r="AG292" i="16"/>
  <c r="L292" i="21"/>
  <c r="O292" i="21" s="1"/>
  <c r="AG287" i="16"/>
  <c r="L287" i="21"/>
  <c r="AG198" i="16"/>
  <c r="L198" i="21"/>
  <c r="AG243" i="16"/>
  <c r="L243" i="21"/>
  <c r="O243" i="21" s="1"/>
  <c r="AG232" i="16"/>
  <c r="L232" i="21"/>
  <c r="O232" i="21" s="1"/>
  <c r="AG223" i="16"/>
  <c r="L223" i="21"/>
  <c r="O223" i="21" s="1"/>
  <c r="AG227" i="16"/>
  <c r="L227" i="21"/>
  <c r="O227" i="21" s="1"/>
  <c r="AG219" i="16"/>
  <c r="L219" i="21"/>
  <c r="O219" i="21" s="1"/>
  <c r="AG256" i="16"/>
  <c r="L256" i="21"/>
  <c r="O256" i="21" s="1"/>
  <c r="AG260" i="16"/>
  <c r="L260" i="21"/>
  <c r="O260" i="21" s="1"/>
  <c r="AG202" i="16"/>
  <c r="L202" i="21"/>
  <c r="O202" i="21" s="1"/>
  <c r="AG205" i="16"/>
  <c r="L205" i="21"/>
  <c r="O205" i="21" s="1"/>
  <c r="AG295" i="16"/>
  <c r="L295" i="21"/>
  <c r="O295" i="21" s="1"/>
  <c r="AG289" i="16"/>
  <c r="L289" i="21"/>
  <c r="O289" i="21" s="1"/>
  <c r="AG220" i="16"/>
  <c r="L220" i="21"/>
  <c r="O220" i="21" s="1"/>
  <c r="AG234" i="16"/>
  <c r="L234" i="21"/>
  <c r="O234" i="21" s="1"/>
  <c r="L238" i="21"/>
  <c r="O238" i="21" s="1"/>
  <c r="AG238" i="16"/>
  <c r="AG244" i="16"/>
  <c r="L244" i="21"/>
  <c r="O244" i="21" s="1"/>
  <c r="AG273" i="16"/>
  <c r="L273" i="21"/>
  <c r="O273" i="21" s="1"/>
  <c r="AG269" i="16"/>
  <c r="L269" i="21"/>
  <c r="O269" i="21" s="1"/>
  <c r="AG201" i="16"/>
  <c r="L201" i="21"/>
  <c r="O201" i="21" s="1"/>
  <c r="AG233" i="16"/>
  <c r="L233" i="21"/>
  <c r="O233" i="21" s="1"/>
  <c r="AG293" i="16"/>
  <c r="L293" i="21"/>
  <c r="O293" i="21" s="1"/>
  <c r="L9" i="26"/>
  <c r="J15" i="26"/>
  <c r="J14" i="26"/>
  <c r="AG199" i="16"/>
  <c r="L199" i="21"/>
  <c r="O199" i="21" s="1"/>
  <c r="L229" i="21"/>
  <c r="O229" i="21" s="1"/>
  <c r="AG229" i="16"/>
  <c r="AG211" i="16"/>
  <c r="L211" i="21"/>
  <c r="O211" i="21" s="1"/>
  <c r="AG239" i="16"/>
  <c r="L239" i="21"/>
  <c r="O239" i="21" s="1"/>
  <c r="AG255" i="16"/>
  <c r="L255" i="21"/>
  <c r="O255" i="21" s="1"/>
  <c r="AG253" i="16"/>
  <c r="L253" i="21"/>
  <c r="O253" i="21" s="1"/>
  <c r="AG249" i="16"/>
  <c r="L249" i="21"/>
  <c r="O249" i="21" s="1"/>
  <c r="AG264" i="16"/>
  <c r="L264" i="21"/>
  <c r="O264" i="21" s="1"/>
  <c r="L282" i="21"/>
  <c r="O282" i="21" s="1"/>
  <c r="L285" i="21"/>
  <c r="O285" i="21" s="1"/>
  <c r="AG274" i="16"/>
  <c r="L281" i="21"/>
  <c r="O281" i="21" s="1"/>
  <c r="L286" i="21"/>
  <c r="O286" i="21" s="1"/>
  <c r="L277" i="21"/>
  <c r="O277" i="21" s="1"/>
  <c r="L278" i="21"/>
  <c r="O278" i="21" s="1"/>
  <c r="L274" i="21"/>
  <c r="O274" i="21" s="1"/>
  <c r="L283" i="21"/>
  <c r="O283" i="21" s="1"/>
  <c r="L284" i="21"/>
  <c r="O284" i="21" s="1"/>
  <c r="L275" i="21"/>
  <c r="O275" i="21" s="1"/>
  <c r="L276" i="21"/>
  <c r="O276" i="21" s="1"/>
  <c r="L280" i="21"/>
  <c r="O280" i="21" s="1"/>
  <c r="L279" i="21"/>
  <c r="O279" i="21" s="1"/>
  <c r="AG212" i="16"/>
  <c r="L212" i="21"/>
  <c r="O212" i="21" s="1"/>
  <c r="L160" i="21"/>
  <c r="O160" i="21" s="1"/>
  <c r="L128" i="21"/>
  <c r="O128" i="21" s="1"/>
  <c r="L147" i="21"/>
  <c r="O147" i="21" s="1"/>
  <c r="L115" i="21"/>
  <c r="O115" i="21" s="1"/>
  <c r="L157" i="21"/>
  <c r="O157" i="21" s="1"/>
  <c r="L154" i="21"/>
  <c r="O154" i="21" s="1"/>
  <c r="L114" i="21"/>
  <c r="O114" i="21" s="1"/>
  <c r="L156" i="21"/>
  <c r="O156" i="21" s="1"/>
  <c r="L124" i="21"/>
  <c r="O124" i="21" s="1"/>
  <c r="L143" i="21"/>
  <c r="O143" i="21" s="1"/>
  <c r="L111" i="21"/>
  <c r="L150" i="21"/>
  <c r="O150" i="21" s="1"/>
  <c r="L129" i="21"/>
  <c r="O129" i="21" s="1"/>
  <c r="L142" i="21"/>
  <c r="O142" i="21" s="1"/>
  <c r="L152" i="21"/>
  <c r="O152" i="21" s="1"/>
  <c r="L120" i="21"/>
  <c r="O120" i="21" s="1"/>
  <c r="L139" i="21"/>
  <c r="O139" i="21" s="1"/>
  <c r="L158" i="21"/>
  <c r="O158" i="21" s="1"/>
  <c r="L125" i="21"/>
  <c r="O125" i="21" s="1"/>
  <c r="L122" i="21"/>
  <c r="O122" i="21" s="1"/>
  <c r="L146" i="21"/>
  <c r="O146" i="21" s="1"/>
  <c r="L148" i="21"/>
  <c r="O148" i="21" s="1"/>
  <c r="L116" i="21"/>
  <c r="O116" i="21" s="1"/>
  <c r="L135" i="21"/>
  <c r="O135" i="21" s="1"/>
  <c r="L133" i="21"/>
  <c r="O133" i="21" s="1"/>
  <c r="L118" i="21"/>
  <c r="O118" i="21" s="1"/>
  <c r="L121" i="21"/>
  <c r="O121" i="21" s="1"/>
  <c r="L141" i="21"/>
  <c r="O141" i="21" s="1"/>
  <c r="L144" i="21"/>
  <c r="O144" i="21" s="1"/>
  <c r="L112" i="21"/>
  <c r="O112" i="21" s="1"/>
  <c r="L131" i="21"/>
  <c r="O131" i="21" s="1"/>
  <c r="L126" i="21"/>
  <c r="O126" i="21" s="1"/>
  <c r="L162" i="21"/>
  <c r="O162" i="21" s="1"/>
  <c r="L153" i="21"/>
  <c r="O153" i="21" s="1"/>
  <c r="L140" i="21"/>
  <c r="O140" i="21" s="1"/>
  <c r="L159" i="21"/>
  <c r="O159" i="21" s="1"/>
  <c r="L127" i="21"/>
  <c r="O127" i="21" s="1"/>
  <c r="L145" i="21"/>
  <c r="O145" i="21" s="1"/>
  <c r="L137" i="21"/>
  <c r="O137" i="21" s="1"/>
  <c r="L134" i="21"/>
  <c r="O134" i="21" s="1"/>
  <c r="L136" i="21"/>
  <c r="O136" i="21" s="1"/>
  <c r="L155" i="21"/>
  <c r="O155" i="21" s="1"/>
  <c r="L123" i="21"/>
  <c r="O123" i="21" s="1"/>
  <c r="L138" i="21"/>
  <c r="O138" i="21" s="1"/>
  <c r="L130" i="21"/>
  <c r="O130" i="21" s="1"/>
  <c r="L117" i="21"/>
  <c r="O117" i="21" s="1"/>
  <c r="AG151" i="16"/>
  <c r="L132" i="21"/>
  <c r="O132" i="21" s="1"/>
  <c r="L151" i="21"/>
  <c r="O151" i="21" s="1"/>
  <c r="L119" i="21"/>
  <c r="O119" i="21" s="1"/>
  <c r="L113" i="21"/>
  <c r="O113" i="21" s="1"/>
  <c r="L161" i="21"/>
  <c r="O161" i="21" s="1"/>
  <c r="L149" i="21"/>
  <c r="O149" i="21" s="1"/>
  <c r="AG231" i="16"/>
  <c r="L231" i="21"/>
  <c r="O231" i="21" s="1"/>
  <c r="AG224" i="16"/>
  <c r="L224" i="21"/>
  <c r="O224" i="21" s="1"/>
  <c r="AG225" i="16"/>
  <c r="L225" i="21"/>
  <c r="O225" i="21" s="1"/>
  <c r="AG215" i="16"/>
  <c r="L215" i="21"/>
  <c r="O215" i="21" s="1"/>
  <c r="AG270" i="16"/>
  <c r="L270" i="21"/>
  <c r="O270" i="21" s="1"/>
  <c r="AG248" i="16"/>
  <c r="L248" i="21"/>
  <c r="O248" i="21" s="1"/>
  <c r="AG263" i="16"/>
  <c r="L263" i="21"/>
  <c r="O263" i="21" s="1"/>
  <c r="AG258" i="16"/>
  <c r="L258" i="21"/>
  <c r="O258" i="21" s="1"/>
  <c r="AG217" i="16"/>
  <c r="L217" i="21"/>
  <c r="O217" i="21" s="1"/>
  <c r="AG221" i="16"/>
  <c r="L221" i="21"/>
  <c r="O221" i="21" s="1"/>
  <c r="AG298" i="16"/>
  <c r="L298" i="21"/>
  <c r="O298" i="21" s="1"/>
  <c r="AG222" i="16"/>
  <c r="L222" i="21"/>
  <c r="O222" i="21" s="1"/>
  <c r="AG226" i="16"/>
  <c r="L226" i="21"/>
  <c r="O226" i="21" s="1"/>
  <c r="L236" i="21"/>
  <c r="O236" i="21" s="1"/>
  <c r="AG236" i="16"/>
  <c r="AG259" i="16"/>
  <c r="L259" i="21"/>
  <c r="O259" i="21" s="1"/>
  <c r="AG265" i="16"/>
  <c r="L265" i="21"/>
  <c r="O265" i="21" s="1"/>
  <c r="AG200" i="16"/>
  <c r="L200" i="21"/>
  <c r="O200" i="21" s="1"/>
  <c r="AG209" i="16"/>
  <c r="L209" i="21"/>
  <c r="O209" i="21" s="1"/>
  <c r="AG218" i="16"/>
  <c r="L218" i="21"/>
  <c r="O218" i="21" s="1"/>
  <c r="AG216" i="16"/>
  <c r="L216" i="21"/>
  <c r="O216" i="21" s="1"/>
  <c r="AG290" i="16"/>
  <c r="L290" i="21"/>
  <c r="O290" i="21" s="1"/>
  <c r="AG288" i="16"/>
  <c r="L288" i="21"/>
  <c r="O288" i="21" s="1"/>
  <c r="AG203" i="16"/>
  <c r="L203" i="21"/>
  <c r="O203" i="21" s="1"/>
  <c r="AG206" i="16"/>
  <c r="L206" i="21"/>
  <c r="O206" i="21" s="1"/>
  <c r="AG242" i="16"/>
  <c r="L242" i="21"/>
  <c r="O242" i="21" s="1"/>
  <c r="AG245" i="16"/>
  <c r="L245" i="21"/>
  <c r="O245" i="21" s="1"/>
  <c r="AG235" i="16"/>
  <c r="L235" i="21"/>
  <c r="O235" i="21" s="1"/>
  <c r="AG241" i="16"/>
  <c r="L241" i="21"/>
  <c r="O241" i="21" s="1"/>
  <c r="AG271" i="16"/>
  <c r="L271" i="21"/>
  <c r="O271" i="21" s="1"/>
  <c r="AG266" i="16"/>
  <c r="L266" i="21"/>
  <c r="O266" i="21" s="1"/>
  <c r="AG210" i="16"/>
  <c r="L210" i="21"/>
  <c r="O210" i="21" s="1"/>
  <c r="AG291" i="16"/>
  <c r="L291" i="21"/>
  <c r="O291" i="21" s="1"/>
  <c r="AG297" i="16"/>
  <c r="L297" i="21"/>
  <c r="O297" i="21" s="1"/>
  <c r="AG213" i="16"/>
  <c r="L213" i="21"/>
  <c r="O213" i="21" s="1"/>
  <c r="AG228" i="16"/>
  <c r="L228" i="21"/>
  <c r="O228" i="21" s="1"/>
  <c r="AG257" i="16"/>
  <c r="L257" i="21"/>
  <c r="O257" i="21" s="1"/>
  <c r="AG240" i="16"/>
  <c r="L240" i="21"/>
  <c r="O240" i="21" s="1"/>
  <c r="AG250" i="16"/>
  <c r="L250" i="21"/>
  <c r="O250" i="21" s="1"/>
  <c r="AG252" i="16"/>
  <c r="L252" i="21"/>
  <c r="O252" i="21" s="1"/>
  <c r="AG262" i="16"/>
  <c r="L262" i="21"/>
  <c r="O262" i="21" s="1"/>
  <c r="AG207" i="16"/>
  <c r="L207" i="21"/>
  <c r="O207" i="21" s="1"/>
  <c r="AG268" i="16"/>
  <c r="L268" i="21"/>
  <c r="O268" i="21" s="1"/>
  <c r="AG246" i="16"/>
  <c r="L246" i="21"/>
  <c r="O246" i="21" s="1"/>
  <c r="AA47" i="16"/>
  <c r="L47" i="21" s="1"/>
  <c r="O47" i="21" s="1"/>
  <c r="AA30" i="16"/>
  <c r="L30" i="21" s="1"/>
  <c r="O30" i="21" s="1"/>
  <c r="AG294" i="16"/>
  <c r="L294" i="21"/>
  <c r="O294" i="21" s="1"/>
  <c r="AG296" i="16"/>
  <c r="L296" i="21"/>
  <c r="O296" i="21" s="1"/>
  <c r="AG214" i="16"/>
  <c r="L214" i="21"/>
  <c r="O214" i="21" s="1"/>
  <c r="AG230" i="16"/>
  <c r="L230" i="21"/>
  <c r="O230" i="21" s="1"/>
  <c r="AG237" i="16"/>
  <c r="L237" i="21"/>
  <c r="O237" i="21" s="1"/>
  <c r="AG247" i="16"/>
  <c r="L247" i="21"/>
  <c r="O247" i="21" s="1"/>
  <c r="AG251" i="16"/>
  <c r="L251" i="21"/>
  <c r="O251" i="21" s="1"/>
  <c r="L267" i="21"/>
  <c r="O267" i="21" s="1"/>
  <c r="AG267" i="16"/>
  <c r="AG261" i="16"/>
  <c r="L261" i="21"/>
  <c r="O261" i="21" s="1"/>
  <c r="AG254" i="16"/>
  <c r="L254" i="21"/>
  <c r="O254" i="21" s="1"/>
  <c r="AG208" i="16"/>
  <c r="L208" i="21"/>
  <c r="O208" i="21" s="1"/>
  <c r="AG272" i="16"/>
  <c r="L272" i="21"/>
  <c r="O272" i="21" s="1"/>
  <c r="AG204" i="16"/>
  <c r="L204" i="21"/>
  <c r="O204" i="21" s="1"/>
  <c r="AA43" i="13" l="1"/>
  <c r="G5" i="28"/>
  <c r="G10" i="28"/>
  <c r="AA26" i="16"/>
  <c r="AG26" i="16" s="1"/>
  <c r="AA71" i="16"/>
  <c r="AG71" i="16" s="1"/>
  <c r="I9" i="25"/>
  <c r="I7" i="25"/>
  <c r="I13" i="25" s="1"/>
  <c r="I11" i="25"/>
  <c r="AA73" i="16"/>
  <c r="AG73" i="16" s="1"/>
  <c r="AA68" i="16"/>
  <c r="AG68" i="16" s="1"/>
  <c r="AA19" i="17"/>
  <c r="AA48" i="16"/>
  <c r="AA25" i="17"/>
  <c r="AA66" i="16"/>
  <c r="AG66" i="16" s="1"/>
  <c r="AA33" i="16"/>
  <c r="AA18" i="17"/>
  <c r="AA28" i="16"/>
  <c r="AG28" i="16" s="1"/>
  <c r="AG30" i="16"/>
  <c r="AA34" i="16"/>
  <c r="AA32" i="16"/>
  <c r="AG32" i="16" s="1"/>
  <c r="AA24" i="17"/>
  <c r="AA69" i="16"/>
  <c r="AG69" i="16" s="1"/>
  <c r="AA36" i="16"/>
  <c r="Z10" i="21"/>
  <c r="AH10" i="21" s="1"/>
  <c r="AA37" i="16"/>
  <c r="AG37" i="16" s="1"/>
  <c r="AA29" i="16"/>
  <c r="L29" i="21" s="1"/>
  <c r="O29" i="21" s="1"/>
  <c r="AA70" i="16"/>
  <c r="AG70" i="16" s="1"/>
  <c r="AA20" i="17"/>
  <c r="AA23" i="17"/>
  <c r="AA35" i="16"/>
  <c r="AA46" i="16"/>
  <c r="AA72" i="16"/>
  <c r="AG72" i="16" s="1"/>
  <c r="AA67" i="16"/>
  <c r="AG67" i="16" s="1"/>
  <c r="AA27" i="16"/>
  <c r="AA22" i="17"/>
  <c r="AA21" i="17"/>
  <c r="AA49" i="16"/>
  <c r="AA31" i="16"/>
  <c r="AP6" i="16"/>
  <c r="AQ6" i="16" s="1"/>
  <c r="L28" i="21"/>
  <c r="O28" i="21" s="1"/>
  <c r="AG47" i="16"/>
  <c r="L26" i="21"/>
  <c r="O26" i="21" s="1"/>
  <c r="AC9" i="21"/>
  <c r="AP3" i="16"/>
  <c r="T11" i="21"/>
  <c r="O198" i="21"/>
  <c r="W11" i="21" s="1"/>
  <c r="AP5" i="16"/>
  <c r="AQ5" i="16" s="1"/>
  <c r="AC11" i="21"/>
  <c r="T12" i="21"/>
  <c r="O287" i="21"/>
  <c r="W12" i="21" s="1"/>
  <c r="O111" i="21"/>
  <c r="W9" i="21" s="1"/>
  <c r="T9" i="21"/>
  <c r="AC12" i="21"/>
  <c r="L15" i="26"/>
  <c r="L14" i="26"/>
  <c r="L32" i="21" l="1"/>
  <c r="O32" i="21" s="1"/>
  <c r="AG29" i="16"/>
  <c r="I15" i="25"/>
  <c r="I14" i="25"/>
  <c r="AG35" i="16"/>
  <c r="L35" i="21"/>
  <c r="O35" i="21" s="1"/>
  <c r="L36" i="21"/>
  <c r="O36" i="21" s="1"/>
  <c r="AG36" i="16"/>
  <c r="L33" i="21"/>
  <c r="O33" i="21" s="1"/>
  <c r="AG33" i="16"/>
  <c r="L48" i="21"/>
  <c r="O48" i="21" s="1"/>
  <c r="AG48" i="16"/>
  <c r="L37" i="21"/>
  <c r="O37" i="21" s="1"/>
  <c r="AG34" i="16"/>
  <c r="L34" i="21"/>
  <c r="O34" i="21" s="1"/>
  <c r="AP2" i="16"/>
  <c r="AQ2" i="16" s="1"/>
  <c r="L67" i="21"/>
  <c r="O67" i="21" s="1"/>
  <c r="L70" i="21"/>
  <c r="O70" i="21" s="1"/>
  <c r="L73" i="21"/>
  <c r="O73" i="21" s="1"/>
  <c r="L71" i="21"/>
  <c r="O71" i="21" s="1"/>
  <c r="L72" i="21"/>
  <c r="O72" i="21" s="1"/>
  <c r="AG49" i="16"/>
  <c r="L68" i="21"/>
  <c r="O68" i="21" s="1"/>
  <c r="L69" i="21"/>
  <c r="O69" i="21" s="1"/>
  <c r="L49" i="21"/>
  <c r="O49" i="21" s="1"/>
  <c r="L66" i="21"/>
  <c r="O66" i="21" s="1"/>
  <c r="L27" i="21"/>
  <c r="O27" i="21" s="1"/>
  <c r="AG27" i="16"/>
  <c r="AC7" i="21" s="1"/>
  <c r="AG31" i="16"/>
  <c r="L31" i="21"/>
  <c r="O31" i="21" s="1"/>
  <c r="AG46" i="16"/>
  <c r="L46" i="21"/>
  <c r="O46" i="21" s="1"/>
  <c r="W7" i="21"/>
  <c r="T7" i="21"/>
  <c r="Z12" i="21"/>
  <c r="AH12" i="21" s="1"/>
  <c r="Z11" i="21"/>
  <c r="AH11" i="21" s="1"/>
  <c r="Z9" i="21"/>
  <c r="AH9" i="21" s="1"/>
  <c r="AQ3" i="16"/>
  <c r="AP8" i="16"/>
  <c r="AQ8" i="16" s="1"/>
  <c r="AP7" i="16" l="1"/>
  <c r="AQ7" i="16" s="1"/>
  <c r="Z7" i="21"/>
  <c r="AH7" i="21" s="1"/>
  <c r="AP9" i="16" l="1"/>
  <c r="AQ9" i="16" s="1"/>
  <c r="K2" i="21" l="1"/>
  <c r="N2" i="21"/>
  <c r="K3" i="21"/>
  <c r="N3" i="21"/>
  <c r="K4" i="21"/>
  <c r="N4" i="21"/>
  <c r="K5" i="21"/>
  <c r="N5" i="21"/>
  <c r="K6" i="21"/>
  <c r="N6" i="21"/>
  <c r="K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K8" i="21"/>
  <c r="N8" i="21"/>
  <c r="K9" i="21"/>
  <c r="N9" i="21"/>
  <c r="S9" i="21"/>
  <c r="V9" i="21"/>
  <c r="Y9" i="21"/>
  <c r="AB9" i="21"/>
  <c r="AE9" i="21"/>
  <c r="AG9" i="21"/>
  <c r="AJ9" i="21"/>
  <c r="K10" i="21"/>
  <c r="N10" i="21"/>
  <c r="S10" i="21"/>
  <c r="V10" i="21"/>
  <c r="Y10" i="21"/>
  <c r="AB10" i="21"/>
  <c r="AE10" i="21"/>
  <c r="AG10" i="21"/>
  <c r="AJ10" i="21"/>
  <c r="K11" i="21"/>
  <c r="N11" i="21"/>
  <c r="S11" i="21"/>
  <c r="V11" i="21"/>
  <c r="Y11" i="21"/>
  <c r="AB11" i="21"/>
  <c r="AE11" i="21"/>
  <c r="AG11" i="21"/>
  <c r="AJ11" i="21"/>
  <c r="K12" i="21"/>
  <c r="N12" i="21"/>
  <c r="S12" i="21"/>
  <c r="V12" i="21"/>
  <c r="Y12" i="21"/>
  <c r="AB12" i="21"/>
  <c r="AG12" i="21"/>
  <c r="AJ12" i="21"/>
  <c r="K13" i="21"/>
  <c r="N13" i="21"/>
  <c r="J14" i="21"/>
  <c r="M14" i="21"/>
  <c r="J15" i="21"/>
  <c r="M15" i="21"/>
  <c r="J16" i="21"/>
  <c r="M16" i="21"/>
  <c r="J17" i="21"/>
  <c r="M17" i="21"/>
  <c r="J18" i="21"/>
  <c r="M18" i="21"/>
  <c r="J19" i="21"/>
  <c r="M19" i="21"/>
  <c r="J20" i="21"/>
  <c r="M20" i="21"/>
  <c r="J21" i="21"/>
  <c r="M21" i="21"/>
  <c r="J22" i="21"/>
  <c r="M22" i="21"/>
  <c r="J23" i="21"/>
  <c r="M23" i="21"/>
  <c r="J24" i="21"/>
  <c r="M24" i="21"/>
  <c r="J25" i="21"/>
  <c r="M25" i="21"/>
  <c r="K26" i="21"/>
  <c r="N26" i="21"/>
  <c r="K27" i="21"/>
  <c r="N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K38" i="21"/>
  <c r="N38" i="21"/>
  <c r="K39" i="21"/>
  <c r="N39" i="21"/>
  <c r="K40" i="21"/>
  <c r="N40" i="21"/>
  <c r="K41" i="21"/>
  <c r="N41" i="21"/>
  <c r="J42" i="21"/>
  <c r="M42" i="21"/>
  <c r="J43" i="21"/>
  <c r="M43" i="21"/>
  <c r="J44" i="21"/>
  <c r="M44" i="21"/>
  <c r="J45" i="21"/>
  <c r="M45" i="21"/>
  <c r="K46" i="21"/>
  <c r="N46" i="21"/>
  <c r="K47" i="21"/>
  <c r="N47" i="21"/>
  <c r="K48" i="21"/>
  <c r="N48" i="21"/>
  <c r="K49" i="21"/>
  <c r="N49" i="21"/>
  <c r="K50" i="21"/>
  <c r="N50" i="21"/>
  <c r="K51" i="21"/>
  <c r="N51" i="21"/>
  <c r="K52" i="21"/>
  <c r="N52" i="21"/>
  <c r="K53" i="21"/>
  <c r="N53" i="21"/>
  <c r="K54" i="21"/>
  <c r="N54" i="21"/>
  <c r="K55" i="21"/>
  <c r="N55" i="21"/>
  <c r="K56" i="21"/>
  <c r="N56" i="21"/>
  <c r="K57" i="21"/>
  <c r="N57" i="21"/>
  <c r="J58" i="21"/>
  <c r="M58" i="21"/>
  <c r="J59" i="21"/>
  <c r="M59" i="21"/>
  <c r="J60" i="21"/>
  <c r="M60" i="21"/>
  <c r="J61" i="21"/>
  <c r="M61" i="21"/>
  <c r="J62" i="21"/>
  <c r="M62" i="21"/>
  <c r="J63" i="21"/>
  <c r="M63" i="21"/>
  <c r="J64" i="21"/>
  <c r="M64" i="21"/>
  <c r="J65" i="21"/>
  <c r="M65" i="21"/>
  <c r="K66" i="21"/>
  <c r="N66" i="21"/>
  <c r="K67" i="21"/>
  <c r="N67" i="21"/>
  <c r="K68" i="21"/>
  <c r="N68" i="21"/>
  <c r="K69" i="21"/>
  <c r="N69" i="21"/>
  <c r="K70" i="21"/>
  <c r="N70" i="21"/>
  <c r="K71" i="21"/>
  <c r="N71" i="21"/>
  <c r="K72" i="21"/>
  <c r="N72" i="21"/>
  <c r="K73" i="21"/>
  <c r="N73" i="21"/>
  <c r="K74" i="21"/>
  <c r="N74" i="21"/>
  <c r="K75" i="21"/>
  <c r="N75" i="21"/>
  <c r="K76" i="21"/>
  <c r="N76" i="21"/>
  <c r="K77" i="21"/>
  <c r="N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K86" i="21"/>
  <c r="N86" i="21"/>
  <c r="K87" i="21"/>
  <c r="N87" i="21"/>
  <c r="K88" i="21"/>
  <c r="N88" i="21"/>
  <c r="K89" i="21"/>
  <c r="N89" i="21"/>
  <c r="K90" i="21"/>
  <c r="N90" i="21"/>
  <c r="K91" i="21"/>
  <c r="N91" i="21"/>
  <c r="K92" i="21"/>
  <c r="N92" i="21"/>
  <c r="K93" i="21"/>
  <c r="N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D47" i="5"/>
  <c r="E47" i="5"/>
  <c r="F47" i="5"/>
  <c r="H47" i="5"/>
  <c r="D48" i="5"/>
  <c r="E48" i="5"/>
  <c r="F48" i="5"/>
  <c r="H49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Z12" i="16"/>
  <c r="AF12" i="16"/>
  <c r="AU12" i="16"/>
  <c r="Z13" i="16"/>
  <c r="AF13" i="16"/>
  <c r="AU13" i="16"/>
  <c r="Y14" i="16"/>
  <c r="AE14" i="16"/>
  <c r="AU14" i="16"/>
  <c r="Y15" i="16"/>
  <c r="AE15" i="16"/>
  <c r="AU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Y42" i="16"/>
  <c r="AE42" i="16"/>
  <c r="Y43" i="16"/>
  <c r="AE43" i="16"/>
  <c r="Y44" i="16"/>
  <c r="AE44" i="16"/>
  <c r="Y45" i="16"/>
  <c r="AE45" i="16"/>
  <c r="Z46" i="16"/>
  <c r="AF46" i="16"/>
  <c r="Z47" i="16"/>
  <c r="AF47" i="16"/>
  <c r="Z48" i="16"/>
  <c r="AF48" i="16"/>
  <c r="Z49" i="16"/>
  <c r="AF49" i="16"/>
  <c r="Z50" i="16"/>
  <c r="AF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Y58" i="16"/>
  <c r="AE58" i="16"/>
  <c r="Y59" i="16"/>
  <c r="AE59" i="16"/>
  <c r="Y60" i="16"/>
  <c r="AE60" i="16"/>
  <c r="Y61" i="16"/>
  <c r="AE61" i="16"/>
  <c r="Y62" i="16"/>
  <c r="AE62" i="16"/>
  <c r="Y63" i="16"/>
  <c r="AE63" i="16"/>
  <c r="Y64" i="16"/>
  <c r="AE64" i="16"/>
  <c r="Y65" i="16"/>
  <c r="AE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Z8" i="17"/>
  <c r="AE8" i="17"/>
  <c r="AJ8" i="17"/>
  <c r="Z9" i="17"/>
  <c r="AE9" i="17"/>
  <c r="Y10" i="17"/>
  <c r="AD10" i="17"/>
  <c r="Y11" i="17"/>
  <c r="AD11" i="17"/>
  <c r="Y12" i="17"/>
  <c r="AD12" i="17"/>
  <c r="Y13" i="17"/>
  <c r="AD13" i="17"/>
  <c r="AJ13" i="17"/>
  <c r="Y14" i="17"/>
  <c r="AD14" i="17"/>
  <c r="Y15" i="17"/>
  <c r="AD15" i="17"/>
  <c r="Y16" i="17"/>
  <c r="AD16" i="17"/>
  <c r="Y17" i="17"/>
  <c r="AD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EE565681-54A4-4AC6-9AC4-D100BE86D20A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30870-E016-475C-BC6B-BDF7EEC238D2}" name="Conexão" type="7" refreshedVersion="7" background="1" saveData="1"/>
  <connection id="2" xr16:uid="{F99D2822-E675-4C66-88AF-A9DA5F096D7C}" name="Conexão1" type="7" refreshedVersion="7" background="1" saveData="1"/>
  <connection id="3" xr16:uid="{0276010A-6540-4E1B-8068-D1B898FFBB3C}" name="Conexão2" type="7" refreshedVersion="7" background="1" saveData="1"/>
</connections>
</file>

<file path=xl/sharedStrings.xml><?xml version="1.0" encoding="utf-8"?>
<sst xmlns="http://schemas.openxmlformats.org/spreadsheetml/2006/main" count="16722" uniqueCount="1022">
  <si>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</si>
  <si>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</si>
  <si>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</si>
  <si>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</si>
  <si>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</si>
  <si>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</si>
  <si>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</si>
  <si>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</si>
  <si>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</si>
  <si>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</si>
  <si>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</si>
  <si>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</si>
  <si>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</si>
  <si>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</si>
  <si>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</si>
  <si>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</si>
  <si>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</si>
  <si>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</si>
  <si>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</si>
  <si>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</si>
  <si>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</si>
  <si>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</si>
  <si>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</si>
  <si>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</si>
  <si>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</si>
  <si>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</si>
  <si>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</si>
  <si>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</si>
  <si>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</si>
  <si>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</si>
  <si>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</si>
  <si>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</si>
  <si>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</si>
  <si>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</si>
  <si>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</si>
  <si>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Comercial</t>
  </si>
  <si>
    <t>A4</t>
  </si>
  <si>
    <t>Verde</t>
  </si>
  <si>
    <t>Ponta</t>
  </si>
  <si>
    <t>Fora ponta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</si>
  <si>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</si>
  <si>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</si>
  <si>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</si>
  <si>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</si>
  <si>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</si>
  <si>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</si>
  <si>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</si>
  <si>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</si>
  <si>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</si>
  <si>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</si>
  <si>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</si>
  <si>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</si>
  <si>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</si>
  <si>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</si>
  <si>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</si>
  <si>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</si>
  <si>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</si>
  <si>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</si>
  <si>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</si>
  <si>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</si>
  <si>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</si>
  <si>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</si>
  <si>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</si>
  <si>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</si>
  <si>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</si>
  <si>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</si>
  <si>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</si>
  <si>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</si>
  <si>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</si>
  <si>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</si>
  <si>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</si>
  <si>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</si>
  <si>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</si>
  <si>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</si>
  <si>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</si>
  <si>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</si>
  <si>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</si>
  <si>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</si>
  <si>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</si>
  <si>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</si>
  <si>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</si>
  <si>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</si>
  <si>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</si>
  <si>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</si>
  <si>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</si>
  <si>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</si>
  <si>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</si>
  <si>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</si>
  <si>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</si>
  <si>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44287A4VerdeNão se aplicaNão se aplicaNão se aplicaNão se aplicaFora ponta</t>
  </si>
  <si>
    <t>44317A4VerdeNão se aplicaNão se aplicaNão se aplicaNão se aplicaFora ponta</t>
  </si>
  <si>
    <t>44348A4VerdeNão se aplicaNão se aplicaNão se aplicaNão se aplicaFora 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</si>
  <si>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</si>
  <si>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</si>
  <si>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</si>
  <si>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</si>
  <si>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</si>
  <si>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</si>
  <si>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</si>
  <si>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</si>
  <si>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</si>
  <si>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44287A4VerdeNão se aplicaNão se aplicaNão se aplicaNão se aplicaNão se aplica</t>
  </si>
  <si>
    <t>44317A4VerdeNão se aplicaNão se aplicaNão se aplicaNão se aplicaNão se aplica</t>
  </si>
  <si>
    <t>44348A4VerdeNão se aplicaNão se aplicaNão se aplicaNão se aplicaNão se aplica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</si>
  <si>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</si>
  <si>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</si>
  <si>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</si>
  <si>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</si>
  <si>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</si>
  <si>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</si>
  <si>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</si>
  <si>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</si>
  <si>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</si>
  <si>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44287A4VerdeNão se aplicaNão se aplicaNão se aplicaNão se aplicaPonta</t>
  </si>
  <si>
    <t>44317A4VerdeNão se aplicaNão se aplicaNão se aplicaNão se aplicaPonta</t>
  </si>
  <si>
    <t>44348A4VerdeNão se aplicaNão se aplicaNão se aplicaNão se aplicaPonta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</si>
  <si>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</si>
  <si>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</si>
  <si>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</si>
  <si>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</si>
  <si>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</si>
  <si>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</si>
  <si>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</si>
  <si>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</si>
  <si>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</si>
  <si>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44287B1ConvencionalResidencialResidencialNão se aplicaNão se aplicaNão se aplica</t>
  </si>
  <si>
    <t>44317B1ConvencionalResidencialResidencialNão se aplicaNão se aplicaNão se aplica</t>
  </si>
  <si>
    <t>44348B1ConvencionalResidencialResidencialNão se aplicaNão se aplicaNão se aplica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</si>
  <si>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</si>
  <si>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</si>
  <si>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</si>
  <si>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</si>
  <si>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</si>
  <si>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</si>
  <si>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</si>
  <si>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</si>
  <si>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</si>
  <si>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44287B1ConvencionalResidencialResidencial baixa renda – faixa 01Não se aplicaNão se aplicaNão se aplica</t>
  </si>
  <si>
    <t>44317B1ConvencionalResidencialResidencial baixa renda – faixa 01Não se aplicaNão se aplicaNão se aplica</t>
  </si>
  <si>
    <t>44348B1ConvencionalResidencialResidencial baixa renda – faixa 01Não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</si>
  <si>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</si>
  <si>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</si>
  <si>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</si>
  <si>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</si>
  <si>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</si>
  <si>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</si>
  <si>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</si>
  <si>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</si>
  <si>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</si>
  <si>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44287B1ConvencionalResidencialResidencial baixa renda – faixa 02Não se aplicaNão se aplicaNão se aplica</t>
  </si>
  <si>
    <t>44317B1ConvencionalResidencialResidencial baixa renda – faixa 02Não se aplicaNão se aplicaNão se aplica</t>
  </si>
  <si>
    <t>44348B1ConvencionalResidencialResidencial baixa renda – faixa 02Não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</si>
  <si>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</si>
  <si>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</si>
  <si>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</si>
  <si>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</si>
  <si>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</si>
  <si>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</si>
  <si>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</si>
  <si>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</si>
  <si>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</si>
  <si>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44287B1ConvencionalResidencialResidencial baixa renda – faixa 03Não se aplicaNão se aplicaNão se aplica</t>
  </si>
  <si>
    <t>44317B1ConvencionalResidencialResidencial baixa renda – faixa 03Não se aplicaNão se aplicaNão se aplica</t>
  </si>
  <si>
    <t>44348B1ConvencionalResidencialResidencial baixa renda – faixa 03Não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</si>
  <si>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</si>
  <si>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</si>
  <si>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</si>
  <si>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</si>
  <si>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</si>
  <si>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</si>
  <si>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</si>
  <si>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</si>
  <si>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</si>
  <si>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44287B1ConvencionalResidencialResidencial baixa renda – faixa 04Não se aplicaNão se aplicaNão se aplica</t>
  </si>
  <si>
    <t>44317B1ConvencionalResidencialResidencial baixa renda – faixa 04Não se aplicaNão se aplicaNão se aplica</t>
  </si>
  <si>
    <t>44348B1ConvencionalResidencialResidencial baixa renda – faixa 04Não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</si>
  <si>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</si>
  <si>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</si>
  <si>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</si>
  <si>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</si>
  <si>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</si>
  <si>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</si>
  <si>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</si>
  <si>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</si>
  <si>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</si>
  <si>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44287B2ConvencionalRuralNão se aplicaNão se aplicaNão se aplicaNão se aplica</t>
  </si>
  <si>
    <t>44317B2ConvencionalRuralNão se aplicaNão se aplicaNão se aplicaNão se aplica</t>
  </si>
  <si>
    <t>44348B2ConvencionalRuralNão se aplicaNão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</si>
  <si>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</si>
  <si>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</si>
  <si>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</si>
  <si>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</si>
  <si>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</si>
  <si>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</si>
  <si>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</si>
  <si>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</si>
  <si>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</si>
  <si>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44287B3ConvencionalNão se aplicaNão se aplicaNão se aplicaNão se aplicaNão se aplica</t>
  </si>
  <si>
    <t>44317B3ConvencionalNão se aplicaNão se aplicaNão se aplicaNão se aplicaNão se aplica</t>
  </si>
  <si>
    <t>44348B3ConvencionalNão se aplicaNão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</si>
  <si>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</si>
  <si>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</si>
  <si>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</si>
  <si>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</si>
  <si>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</si>
  <si>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</si>
  <si>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</si>
  <si>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</si>
  <si>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</si>
  <si>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44287B4ConvencionalIluminação públicaIluminação pública – B4aNão se aplicaNão se aplicaNão se aplica</t>
  </si>
  <si>
    <t>44317B4ConvencionalIluminação públicaIluminação pública – B4aNão se aplicaNão se aplicaNão se aplica</t>
  </si>
  <si>
    <t>44348B4ConvencionalIluminação públicaIluminação pública – B4aNão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</si>
  <si>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</si>
  <si>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</si>
  <si>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</si>
  <si>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</si>
  <si>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</si>
  <si>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</si>
  <si>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</si>
  <si>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</si>
  <si>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</si>
  <si>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CHAVE TE</t>
  </si>
  <si>
    <t>44287A4Energia horáriaNão se aplicaNão se aplicaNão se aplicaNão se aplicaFora ponta</t>
  </si>
  <si>
    <t>44317A4Energia horáriaNão se aplicaNão se aplicaNão se aplicaNão se aplicaFora ponta</t>
  </si>
  <si>
    <t>44348A4Energia horáriaNão se aplicaNão se aplicaNão se aplicaNão se aplicaFora ponta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</si>
  <si>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</si>
  <si>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</si>
  <si>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</si>
  <si>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</si>
  <si>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</si>
  <si>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</si>
  <si>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</si>
  <si>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</si>
  <si>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</si>
  <si>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</si>
  <si>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</si>
  <si>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</si>
  <si>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</si>
  <si>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44287A4Energia horáriaNão se aplicaNão se aplicaNão se aplicaNão se aplicaPonta</t>
  </si>
  <si>
    <t>44317A4Energia horáriaNão se aplicaNão se aplicaNão se aplicaNão se aplicaPonta</t>
  </si>
  <si>
    <t>44348A4Energia horáriaNão se aplicaNão se aplicaNão se aplicaNão se aplicaPonta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</si>
  <si>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</si>
  <si>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</si>
  <si>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</si>
  <si>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</si>
  <si>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</si>
  <si>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</si>
  <si>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</si>
  <si>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</si>
  <si>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</si>
  <si>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44287B1Energia convencionalResidencialResidencialNão se aplicaNão se aplicaNão se aplica</t>
  </si>
  <si>
    <t>44317B1Energia convencionalResidencialResidencialNão se aplicaNão se aplicaNão se aplica</t>
  </si>
  <si>
    <t>44348B1Energia convencionalResidencialResidencialNão se aplicaNão se aplicaNão se aplica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</si>
  <si>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</si>
  <si>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</si>
  <si>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</si>
  <si>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</si>
  <si>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</si>
  <si>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</si>
  <si>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</si>
  <si>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</si>
  <si>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</si>
  <si>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44287B1Energia convencionalResidencialResidencial baixa renda – faixa 01Não se aplicaNão se aplicaNão se aplica</t>
  </si>
  <si>
    <t>44317B1Energia convencionalResidencialResidencial baixa renda – faixa 01Não se aplicaNão se aplicaNão se aplica</t>
  </si>
  <si>
    <t>44348B1Energia convencionalResidencialResidencial baixa renda – faixa 01Não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</si>
  <si>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</si>
  <si>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</si>
  <si>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</si>
  <si>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</si>
  <si>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</si>
  <si>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</si>
  <si>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</si>
  <si>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</si>
  <si>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</si>
  <si>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44287B1Energia convencionalResidencialResidencial baixa renda – faixa 02Não se aplicaNão se aplicaNão se aplica</t>
  </si>
  <si>
    <t>44317B1Energia convencionalResidencialResidencial baixa renda – faixa 02Não se aplicaNão se aplicaNão se aplica</t>
  </si>
  <si>
    <t>44348B1Energia convencionalResidencialResidencial baixa renda – faixa 02Não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</si>
  <si>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</si>
  <si>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</si>
  <si>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</si>
  <si>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</si>
  <si>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</si>
  <si>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</si>
  <si>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</si>
  <si>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</si>
  <si>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</si>
  <si>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44287B1Energia convencionalResidencialResidencial baixa renda – faixa 03Não se aplicaNão se aplicaNão se aplica</t>
  </si>
  <si>
    <t>44317B1Energia convencionalResidencialResidencial baixa renda – faixa 03Não se aplicaNão se aplicaNão se aplica</t>
  </si>
  <si>
    <t>44348B1Energia convencionalResidencialResidencial baixa renda – faixa 03Não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</si>
  <si>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</si>
  <si>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</si>
  <si>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</si>
  <si>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</si>
  <si>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</si>
  <si>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</si>
  <si>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</si>
  <si>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</si>
  <si>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</si>
  <si>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44287B1Energia convencionalResidencialResidencial baixa renda – faixa 04Não se aplicaNão se aplicaNão se aplica</t>
  </si>
  <si>
    <t>44317B1Energia convencionalResidencialResidencial baixa renda – faixa 04Não se aplicaNão se aplicaNão se aplica</t>
  </si>
  <si>
    <t>44348B1Energia convencionalResidencialResidencial baixa renda – faixa 04Não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</si>
  <si>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</si>
  <si>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</si>
  <si>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</si>
  <si>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</si>
  <si>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</si>
  <si>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</si>
  <si>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</si>
  <si>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</si>
  <si>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</si>
  <si>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44287B2Energia convencionalRuralNão se aplicaNão se aplicaNão se aplicaNão se aplica</t>
  </si>
  <si>
    <t>44317B2Energia convencionalRuralNão se aplicaNão se aplicaNão se aplicaNão se aplica</t>
  </si>
  <si>
    <t>44348B2Energia convencionalRuralNão se aplicaNão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</si>
  <si>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</si>
  <si>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</si>
  <si>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</si>
  <si>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</si>
  <si>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</si>
  <si>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</si>
  <si>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</si>
  <si>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</si>
  <si>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</si>
  <si>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44287B3Energia convencionalNão se aplicaNão se aplicaNão se aplicaNão se aplicaNão se aplica</t>
  </si>
  <si>
    <t>44317B3Energia convencionalNão se aplicaNão se aplicaNão se aplicaNão se aplicaNão se aplica</t>
  </si>
  <si>
    <t>44348B3Energia convencionalNão se aplicaNão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</si>
  <si>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</si>
  <si>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</si>
  <si>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</si>
  <si>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</si>
  <si>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</si>
  <si>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</si>
  <si>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</si>
  <si>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</si>
  <si>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</si>
  <si>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44287B4Energia convencionalIluminação públicaIluminação pública – B4aNão se aplicaNão se aplicaNão se aplica</t>
  </si>
  <si>
    <t>44317B4Energia convencionalIluminação públicaIluminação pública – B4aNão se aplicaNão se aplicaNão se aplica</t>
  </si>
  <si>
    <t>44348B4Energia convencionalIluminação públicaIluminação pública – B4aNão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</si>
  <si>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</si>
  <si>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</si>
  <si>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</si>
  <si>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</si>
  <si>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</si>
  <si>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</si>
  <si>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</si>
  <si>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</si>
  <si>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</si>
  <si>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</si>
  <si>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</si>
  <si>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</si>
  <si>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</si>
  <si>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</si>
  <si>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</si>
  <si>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</si>
  <si>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</si>
  <si>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</si>
  <si>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</si>
  <si>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</si>
  <si>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</si>
  <si>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</si>
  <si>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</si>
  <si>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</si>
  <si>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</si>
  <si>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</si>
  <si>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</si>
  <si>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</si>
  <si>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</si>
  <si>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</si>
  <si>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</si>
  <si>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</si>
  <si>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</si>
  <si>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</si>
  <si>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</si>
  <si>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</si>
  <si>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</si>
  <si>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</si>
  <si>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</si>
  <si>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</si>
  <si>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</si>
  <si>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</si>
  <si>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</si>
  <si>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</si>
  <si>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</si>
  <si>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</si>
  <si>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</si>
  <si>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</si>
  <si>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</si>
  <si>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</si>
  <si>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</si>
  <si>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</si>
  <si>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</si>
  <si>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</si>
  <si>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</si>
  <si>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</si>
  <si>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</si>
  <si>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</si>
  <si>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</si>
  <si>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</si>
  <si>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</si>
  <si>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</si>
  <si>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</si>
  <si>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</si>
  <si>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</si>
  <si>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</si>
  <si>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</si>
  <si>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</si>
  <si>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</si>
  <si>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</si>
  <si>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</si>
  <si>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</si>
  <si>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</si>
  <si>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</si>
  <si>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</si>
  <si>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</si>
  <si>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</si>
  <si>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</si>
  <si>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</si>
  <si>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</si>
  <si>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</si>
  <si>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</si>
  <si>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</si>
  <si>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</si>
  <si>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</si>
  <si>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</si>
  <si>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</si>
  <si>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</si>
  <si>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</si>
  <si>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</si>
  <si>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</si>
  <si>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</si>
  <si>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</si>
  <si>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</si>
  <si>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</si>
  <si>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</si>
  <si>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</si>
  <si>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</si>
  <si>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</si>
  <si>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</si>
  <si>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</si>
  <si>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</si>
  <si>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</si>
  <si>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</si>
  <si>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</si>
  <si>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</si>
  <si>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</si>
  <si>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</si>
  <si>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</si>
  <si>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2.865, DE 27 DE ABRIL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</si>
  <si>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</si>
  <si>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</si>
  <si>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</si>
  <si>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</si>
  <si>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</si>
  <si>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</si>
  <si>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</si>
  <si>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</si>
  <si>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</si>
  <si>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</si>
  <si>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</si>
  <si>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</si>
  <si>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</si>
  <si>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</si>
  <si>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</si>
  <si>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</si>
  <si>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</si>
  <si>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</si>
  <si>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</si>
  <si>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</si>
  <si>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</si>
  <si>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</si>
  <si>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</si>
  <si>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</si>
  <si>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</si>
  <si>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</si>
  <si>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</si>
  <si>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</si>
  <si>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</si>
  <si>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</si>
  <si>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</si>
  <si>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</si>
  <si>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</si>
  <si>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</si>
  <si>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</si>
  <si>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</si>
  <si>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</si>
  <si>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</si>
  <si>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</si>
  <si>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</si>
  <si>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</si>
  <si>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</si>
  <si>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</si>
  <si>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</si>
  <si>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</si>
  <si>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</si>
  <si>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Intermediário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</si>
  <si>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</si>
  <si>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</si>
  <si>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</si>
  <si>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</si>
  <si>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</si>
  <si>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</si>
  <si>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</si>
  <si>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</si>
  <si>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</si>
  <si>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</si>
  <si>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</si>
  <si>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</si>
  <si>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</si>
  <si>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</si>
  <si>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</si>
  <si>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</si>
  <si>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</si>
  <si>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</si>
  <si>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</si>
  <si>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</si>
  <si>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</si>
  <si>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</si>
  <si>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</si>
  <si>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</si>
  <si>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</si>
  <si>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</si>
  <si>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</si>
  <si>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</si>
  <si>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</si>
  <si>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</si>
  <si>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</si>
  <si>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</si>
  <si>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</si>
  <si>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</si>
  <si>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</si>
  <si>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</si>
  <si>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</si>
  <si>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</si>
  <si>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</si>
  <si>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</si>
  <si>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</si>
  <si>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</si>
  <si>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</si>
  <si>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</si>
  <si>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</si>
  <si>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</si>
  <si>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</si>
  <si>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</si>
  <si>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</si>
  <si>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</si>
  <si>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</si>
  <si>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BAIXA RENDA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</si>
  <si>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</si>
  <si>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</si>
  <si>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</si>
  <si>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</si>
  <si>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</si>
  <si>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</si>
  <si>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</si>
  <si>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</si>
  <si>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</si>
  <si>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</si>
  <si>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</si>
  <si>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</si>
  <si>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</si>
  <si>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</si>
  <si>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</si>
  <si>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</si>
  <si>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</si>
  <si>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</si>
  <si>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Planilha Custo</t>
  </si>
  <si>
    <t>Verde1RuralNão se aplicaPlanilha CustoA4</t>
  </si>
  <si>
    <t>Convencional1RuralNão se aplicaPlanilha CustoA4</t>
  </si>
  <si>
    <t>Azul1Serviço públicoÁgua, esgoto e saneamentoPlanilha CUSTOA4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</si>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</sst>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165" fontId="3" fillId="0" borderId="0" xfId="0" applyNumberFormat="1" applyFont="1"/>
    <xf numFmtId="168" fontId="3" fillId="0" borderId="0" xfId="0" applyNumberFormat="1" applyFont="1"/>
    <xf numFmtId="164" fontId="3" fillId="0" borderId="0" xfId="1" applyFont="1"/>
    <xf numFmtId="168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0" fontId="3" fillId="0" borderId="13" xfId="0" applyFont="1" applyBorder="1" applyAlignment="1">
      <alignment vertical="center"/>
    </xf>
    <xf numFmtId="164" fontId="3" fillId="0" borderId="0" xfId="0" applyNumberFormat="1" applyFont="1"/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9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798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5.974425610337545E-2</c:v>
                </c:pt>
                <c:pt idx="1">
                  <c:v>1.7487007106353002E-4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-4.0454472519347764E-2</c:v>
                </c:pt>
                <c:pt idx="6">
                  <c:v>5.5441873336508959E-3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0.2214498397910275</c:v>
                </c:pt>
                <c:pt idx="13">
                  <c:v>0</c:v>
                </c:pt>
                <c:pt idx="14">
                  <c:v>0</c:v>
                </c:pt>
                <c:pt idx="15">
                  <c:v>4.9973883118399114E-2</c:v>
                </c:pt>
                <c:pt idx="16">
                  <c:v>-1.9821147627322851E-2</c:v>
                </c:pt>
                <c:pt idx="17">
                  <c:v>0</c:v>
                </c:pt>
                <c:pt idx="18">
                  <c:v>-4.4753666901977086E-3</c:v>
                </c:pt>
                <c:pt idx="19">
                  <c:v>0</c:v>
                </c:pt>
                <c:pt idx="20">
                  <c:v>3.77570760831281E-3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1-4E12-A3B4-F77C905ADA30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6.5754318894539782E-2</c:v>
                </c:pt>
                <c:pt idx="1">
                  <c:v>-1.4167895315550351E-4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-5.0008659477908328E-2</c:v>
                </c:pt>
                <c:pt idx="6">
                  <c:v>7.0358071330931795E-3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0.21357064605188381</c:v>
                </c:pt>
                <c:pt idx="13">
                  <c:v>0</c:v>
                </c:pt>
                <c:pt idx="14">
                  <c:v>0</c:v>
                </c:pt>
                <c:pt idx="15">
                  <c:v>4.6661091614062088E-2</c:v>
                </c:pt>
                <c:pt idx="16">
                  <c:v>-1.985304507773468E-2</c:v>
                </c:pt>
                <c:pt idx="17">
                  <c:v>0</c:v>
                </c:pt>
                <c:pt idx="18">
                  <c:v>-2.9382222052300199E-3</c:v>
                </c:pt>
                <c:pt idx="19">
                  <c:v>0</c:v>
                </c:pt>
                <c:pt idx="20">
                  <c:v>3.8193249216583671E-3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1-4E12-A3B4-F77C905ADA30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6.5754318894539782E-2</c:v>
                </c:pt>
                <c:pt idx="1">
                  <c:v>-1.4167895315550351E-4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-5.0008659477908328E-2</c:v>
                </c:pt>
                <c:pt idx="6">
                  <c:v>7.0358071330931795E-3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0.21357064605188381</c:v>
                </c:pt>
                <c:pt idx="13">
                  <c:v>0</c:v>
                </c:pt>
                <c:pt idx="14">
                  <c:v>0</c:v>
                </c:pt>
                <c:pt idx="15">
                  <c:v>4.6661091614062088E-2</c:v>
                </c:pt>
                <c:pt idx="16">
                  <c:v>-1.985304507773468E-2</c:v>
                </c:pt>
                <c:pt idx="17">
                  <c:v>0</c:v>
                </c:pt>
                <c:pt idx="18">
                  <c:v>-2.9382222052300199E-3</c:v>
                </c:pt>
                <c:pt idx="19">
                  <c:v>0</c:v>
                </c:pt>
                <c:pt idx="20">
                  <c:v>3.8193249216583671E-3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1-4E12-A3B4-F77C905ADA3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9661-4E12-A3B4-F77C905ADA3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9661-4E12-A3B4-F77C905ADA3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9661-4E12-A3B4-F77C905A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095200"/>
        <c:axId val="1153090280"/>
      </c:radarChart>
      <c:catAx>
        <c:axId val="1153095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53090280"/>
        <c:crosses val="autoZero"/>
        <c:auto val="1"/>
        <c:lblAlgn val="ctr"/>
        <c:lblOffset val="100"/>
        <c:noMultiLvlLbl val="0"/>
      </c:catAx>
      <c:valAx>
        <c:axId val="1153090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309520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0.10213070952775137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2.2303260641934896E-2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A-41D2-8A2C-D6F591FD7556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TE'!$B$14:$K$14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9.6961495642306231E-2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2.2303260641934896E-2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A-41D2-8A2C-D6F591FD7556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TE'!$B$15:$K$15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9.6961495642306231E-2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2.2303260641934896E-2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A-41D2-8A2C-D6F591FD755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8B2A-41D2-8A2C-D6F591FD755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8B2A-41D2-8A2C-D6F591FD755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8B2A-41D2-8A2C-D6F591FD7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658328"/>
        <c:axId val="880658656"/>
      </c:radarChart>
      <c:catAx>
        <c:axId val="8806583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80658656"/>
        <c:crosses val="autoZero"/>
        <c:auto val="1"/>
        <c:lblAlgn val="ctr"/>
        <c:lblOffset val="100"/>
        <c:noMultiLvlLbl val="0"/>
      </c:catAx>
      <c:valAx>
        <c:axId val="88065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65832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400051</xdr:colOff>
      <xdr:row>16</xdr:row>
      <xdr:rowOff>0</xdr:rowOff>
    </xdr:from>
    <xdr:to>
      <xdr:col>14</xdr:col>
      <xdr:colOff>438151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86EA1E-F64D-48A2-BF10-4F91F77EB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523876</xdr:colOff>
      <xdr:row>16</xdr:row>
      <xdr:rowOff>0</xdr:rowOff>
    </xdr:from>
    <xdr:to>
      <xdr:col>14</xdr:col>
      <xdr:colOff>104776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D16A10-822B-4DBC-AFD3-9366BD925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62.474714351854" createdVersion="5" refreshedVersion="7" minRefreshableVersion="3" recordCount="297" xr:uid="{5872F55D-DB0C-4240-824A-6F38F4D48AE4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8">
        <s v="Comercial"/>
        <s v="Industrial"/>
        <s v="Rur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  <s v="Iluminação pública – B4a"/>
      </sharedItems>
    </cacheField>
    <cacheField name="Detalhe" numFmtId="0">
      <sharedItems count="2"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4-01T00:00:00" maxDate="2022-03-02T00:00:00" count="12"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</sharedItems>
    </cacheField>
    <cacheField name="D" numFmtId="40">
      <sharedItems containsSemiMixedTypes="0" containsString="0" containsNumber="1" containsInteger="1" minValue="0" maxValue="1222"/>
    </cacheField>
    <cacheField name="Daj" numFmtId="40">
      <sharedItems containsSemiMixedTypes="0" containsString="0" containsNumber="1" containsInteger="1" minValue="0" maxValue="1222"/>
    </cacheField>
    <cacheField name="TUSD_E" numFmtId="40">
      <sharedItems containsSemiMixedTypes="0" containsString="0" containsNumber="1" minValue="-9.9450000000000003" maxValue="791.46400000000006"/>
    </cacheField>
    <cacheField name="TUSD_Eaj" numFmtId="40">
      <sharedItems containsSemiMixedTypes="0" containsString="0" containsNumber="1" minValue="-9.9450000000000003" maxValue="791.46400000000006"/>
    </cacheField>
    <cacheField name="TE_E" numFmtId="40">
      <sharedItems containsSemiMixedTypes="0" containsString="0" containsNumber="1" minValue="-9.9450000000000003" maxValue="791.46400000000006"/>
    </cacheField>
    <cacheField name="TE_Eaj" numFmtId="40">
      <sharedItems containsSemiMixedTypes="0" containsString="0" containsNumber="1" minValue="-9.9450000000000003" maxValue="791.46400000000006"/>
    </cacheField>
    <cacheField name="UC" numFmtId="40">
      <sharedItems containsSemiMixedTypes="0" containsString="0" containsNumber="1" containsInteger="1" minValue="0" maxValue="4544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80"/>
    </cacheField>
    <cacheField name="CóD. AUX. TUSD R$/MWh" numFmtId="40">
      <sharedItems containsSemiMixedTypes="0" containsString="0" containsNumber="1" containsInteger="1" minValue="0" maxValue="84"/>
    </cacheField>
    <cacheField name="CóD. AUX. TE R$/MWh" numFmtId="40">
      <sharedItems containsSemiMixedTypes="0" containsString="0" containsNumber="1" containsInteger="1" minValue="0" maxValue="53"/>
    </cacheField>
    <cacheField name="TUSD (R$/kW)" numFmtId="40">
      <sharedItems containsSemiMixedTypes="0" containsString="0" containsNumber="1" minValue="0" maxValue="53.08"/>
    </cacheField>
    <cacheField name="TUSD (R$/MWh)" numFmtId="40">
      <sharedItems containsSemiMixedTypes="0" containsString="0" containsNumber="1" minValue="0" maxValue="3711.27"/>
    </cacheField>
    <cacheField name="TE (R$/MWh)" numFmtId="40">
      <sharedItems containsSemiMixedTypes="0" containsString="0" containsNumber="1" minValue="0" maxValue="201.73"/>
    </cacheField>
    <cacheField name="TUSD (R$/kW) NOVA" numFmtId="40">
      <sharedItems containsString="0" containsBlank="1" containsNumber="1" minValue="67.884943103319998" maxValue="67.884943103319998"/>
    </cacheField>
    <cacheField name="TUSD (R$/MWh) NOVA" numFmtId="40">
      <sharedItems containsString="0" containsBlank="1" containsNumber="1" minValue="131.63353347659393" maxValue="4778.3789462963377"/>
    </cacheField>
    <cacheField name="TE (R$/MWh) NOVA" numFmtId="40">
      <sharedItems containsString="0" containsBlank="1" containsNumber="1" minValue="76.135323767121193" maxValue="217.52949647748915"/>
    </cacheField>
    <cacheField name="RA0 ou RV - TUSD (kW)" numFmtId="40">
      <sharedItems containsSemiMixedTypes="0" containsString="0" containsNumber="1" minValue="0" maxValue="64863.759999999995"/>
    </cacheField>
    <cacheField name="RA0 ou RV - TUSD (MWh)" numFmtId="40">
      <sharedItems containsSemiMixedTypes="0" containsString="0" containsNumber="1" minValue="-8192.0943000000007" maxValue="651960.55536"/>
    </cacheField>
    <cacheField name="RA0 ou RV - TE (MWh)" numFmtId="40">
      <sharedItems containsSemiMixedTypes="0" containsString="0" containsNumber="1" minValue="-2006.2048499999999" maxValue="159662.03272000002"/>
    </cacheField>
    <cacheField name="RA1 ou RRD - TUSD (kW)" numFmtId="40">
      <sharedItems containsSemiMixedTypes="0" containsString="0" containsNumber="1" minValue="0" maxValue="82955.400472257039"/>
    </cacheField>
    <cacheField name="RA1 ou RRD - TUSD (MWh)" numFmtId="40">
      <sharedItems containsSemiMixedTypes="0" containsString="0" containsNumber="1" minValue="-10216.177045217131" maxValue="813045.38450635818"/>
    </cacheField>
    <cacheField name="RA1 ou RRD - TE (MWh)" numFmtId="40">
      <sharedItems containsSemiMixedTypes="0" containsString="0" containsNumber="1" minValue="-2163.3308424686297" maxValue="172166.7654000594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62.474760300924" createdVersion="5" refreshedVersion="7" minRefreshableVersion="3" recordCount="124" xr:uid="{D89CE5A5-0595-4928-A4F6-B4FB21229D19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</sharedItems>
    </cacheField>
    <cacheField name="Detalhe" numFmtId="0">
      <sharedItems count="2"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4-01T00:00:00" maxDate="2022-03-02T00:00:00" count="12"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</sharedItems>
    </cacheField>
    <cacheField name="D" numFmtId="40">
      <sharedItems containsSemiMixedTypes="0" containsString="0" containsNumber="1" containsInteger="1" minValue="0" maxValue="125"/>
    </cacheField>
    <cacheField name="Daj" numFmtId="40">
      <sharedItems containsSemiMixedTypes="0" containsString="0" containsNumber="1" containsInteger="1" minValue="0" maxValue="120"/>
    </cacheField>
    <cacheField name="TUSD_E" numFmtId="40">
      <sharedItems containsSemiMixedTypes="0" containsString="0" containsNumber="1" minValue="-0.97699999999999998" maxValue="726.19200000000001"/>
    </cacheField>
    <cacheField name="TUSD_Eaj" numFmtId="40">
      <sharedItems containsSemiMixedTypes="0" containsString="0" containsNumber="1" minValue="-0.97699999999999998" maxValue="726.19200000000001"/>
    </cacheField>
    <cacheField name="TE_E" numFmtId="40">
      <sharedItems containsSemiMixedTypes="0" containsString="0" containsNumber="1" minValue="-0.97699999999999998" maxValue="726.19200000000001"/>
    </cacheField>
    <cacheField name="TE_Eaj" numFmtId="40">
      <sharedItems containsSemiMixedTypes="0" containsString="0" containsNumber="1" minValue="-0.97699999999999998" maxValue="726.19200000000001"/>
    </cacheField>
    <cacheField name="UC" numFmtId="40">
      <sharedItems containsSemiMixedTypes="0" containsString="0" containsNumber="1" containsInteger="1" minValue="0" maxValue="4406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80"/>
    </cacheField>
    <cacheField name="CóD. AUX. TUSD R$/MWh" numFmtId="0">
      <sharedItems containsSemiMixedTypes="0" containsString="0" containsNumber="1" containsInteger="1" minValue="0" maxValue="84"/>
    </cacheField>
    <cacheField name="CóD. AUX. TE R$/MWh" numFmtId="0">
      <sharedItems containsSemiMixedTypes="0" containsString="0" containsNumber="1" containsInteger="1" minValue="0" maxValue="53"/>
    </cacheField>
    <cacheField name="TUSD (R$/kW)" numFmtId="40">
      <sharedItems containsSemiMixedTypes="0" containsString="0" containsNumber="1" minValue="0" maxValue="53.08"/>
    </cacheField>
    <cacheField name="TUSD (R$/MWh)" numFmtId="40">
      <sharedItems containsSemiMixedTypes="0" containsString="0" containsNumber="1" minValue="0" maxValue="3711.27"/>
    </cacheField>
    <cacheField name="TE (R$/MWh)" numFmtId="40">
      <sharedItems containsSemiMixedTypes="0" containsString="0" containsNumber="1" minValue="0" maxValue="201.73"/>
    </cacheField>
    <cacheField name="TUSD (R$/kW) NOVA" numFmtId="40">
      <sharedItems containsString="0" containsBlank="1" containsNumber="1" minValue="67.884943103319998" maxValue="67.884943103319998"/>
    </cacheField>
    <cacheField name="TUSD (R$/MWh) NOVA" numFmtId="40">
      <sharedItems containsString="0" containsBlank="1" containsNumber="1" minValue="131.63353347659393" maxValue="4778.3789462963377"/>
    </cacheField>
    <cacheField name="TE (R$/MWh) NOVA" numFmtId="40">
      <sharedItems containsString="0" containsBlank="1" containsNumber="1" minValue="76.135323767121193" maxValue="217.52949647748915"/>
    </cacheField>
    <cacheField name="SUBSIDIO kW - TV" numFmtId="40">
      <sharedItems containsSemiMixedTypes="0" containsString="0" containsNumber="1" minValue="0" maxValue="265.39999999999998"/>
    </cacheField>
    <cacheField name="SUBSIDIO MWh - TV" numFmtId="40">
      <sharedItems containsSemiMixedTypes="0" containsString="0" containsNumber="1" minValue="-120.21985000000004" maxValue="16262.657150000006"/>
    </cacheField>
    <cacheField name="SUBSIDIO kW - TN" numFmtId="40">
      <sharedItems containsSemiMixedTypes="0" containsString="0" containsNumber="1" minValue="0" maxValue="339.42471551659997"/>
    </cacheField>
    <cacheField name="SUBSIDIO MWh - TN" numFmtId="40">
      <sharedItems containsSemiMixedTypes="0" containsString="0" containsNumber="1" minValue="-145.94002058846445" maxValue="19741.935456533498"/>
    </cacheField>
    <cacheField name="TIPO" numFmtId="0">
      <sharedItems containsBlank="1" count="4"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s v="Regular"/>
    <x v="0"/>
    <x v="0"/>
    <x v="0"/>
    <x v="0"/>
    <x v="0"/>
    <x v="0"/>
    <x v="0"/>
    <x v="0"/>
    <n v="0"/>
    <n v="0"/>
    <n v="163.18199999999999"/>
    <n v="163.18199999999999"/>
    <n v="163.18199999999999"/>
    <n v="163.18199999999999"/>
    <n v="0"/>
    <x v="0"/>
    <n v="0"/>
    <n v="0"/>
    <n v="84"/>
    <n v="34"/>
    <n v="0"/>
    <n v="123.21"/>
    <n v="201.73"/>
    <m/>
    <n v="131.63353347659393"/>
    <n v="217.52949647748915"/>
    <n v="0"/>
    <n v="20105.654219999997"/>
    <n v="32918.704859999998"/>
    <n v="0"/>
    <n v="21480.223259777547"/>
    <n v="35496.898294189632"/>
  </r>
  <r>
    <s v="Regular"/>
    <x v="0"/>
    <x v="0"/>
    <x v="0"/>
    <x v="0"/>
    <x v="0"/>
    <x v="0"/>
    <x v="0"/>
    <x v="1"/>
    <n v="0"/>
    <n v="0"/>
    <n v="164.11099999999999"/>
    <n v="164.11099999999999"/>
    <n v="164.11099999999999"/>
    <n v="164.11099999999999"/>
    <n v="0"/>
    <x v="0"/>
    <n v="0"/>
    <n v="0"/>
    <n v="84"/>
    <n v="34"/>
    <n v="0"/>
    <n v="123.21"/>
    <n v="201.73"/>
    <m/>
    <n v="131.63353347659393"/>
    <n v="217.52949647748915"/>
    <n v="0"/>
    <n v="20220.116309999998"/>
    <n v="33106.112029999997"/>
    <n v="0"/>
    <n v="21602.510812377306"/>
    <n v="35698.983196417219"/>
  </r>
  <r>
    <s v="Regular"/>
    <x v="0"/>
    <x v="0"/>
    <x v="0"/>
    <x v="0"/>
    <x v="0"/>
    <x v="0"/>
    <x v="0"/>
    <x v="2"/>
    <n v="0"/>
    <n v="0"/>
    <n v="159.97999999999999"/>
    <n v="159.97999999999999"/>
    <n v="159.97999999999999"/>
    <n v="159.97999999999999"/>
    <n v="0"/>
    <x v="0"/>
    <n v="0"/>
    <n v="0"/>
    <n v="84"/>
    <n v="34"/>
    <n v="0"/>
    <n v="123.21"/>
    <n v="201.73"/>
    <m/>
    <n v="131.63353347659393"/>
    <n v="217.52949647748915"/>
    <n v="0"/>
    <n v="19711.135799999996"/>
    <n v="32272.765399999997"/>
    <n v="0"/>
    <n v="21058.732685585495"/>
    <n v="34800.368846468715"/>
  </r>
  <r>
    <s v="Regular"/>
    <x v="0"/>
    <x v="0"/>
    <x v="0"/>
    <x v="0"/>
    <x v="0"/>
    <x v="0"/>
    <x v="0"/>
    <x v="3"/>
    <n v="0"/>
    <n v="0"/>
    <n v="182.959"/>
    <n v="182.959"/>
    <n v="182.959"/>
    <n v="182.959"/>
    <n v="0"/>
    <x v="0"/>
    <n v="0"/>
    <n v="0"/>
    <n v="84"/>
    <n v="34"/>
    <n v="0"/>
    <n v="123.21"/>
    <n v="201.73"/>
    <m/>
    <n v="131.63353347659393"/>
    <n v="217.52949647748915"/>
    <n v="0"/>
    <n v="22542.378389999998"/>
    <n v="36908.319069999998"/>
    <n v="0"/>
    <n v="24083.539651344148"/>
    <n v="39798.97914602494"/>
  </r>
  <r>
    <s v="Regular"/>
    <x v="0"/>
    <x v="0"/>
    <x v="0"/>
    <x v="0"/>
    <x v="0"/>
    <x v="0"/>
    <x v="0"/>
    <x v="4"/>
    <n v="0"/>
    <n v="0"/>
    <n v="167.11099999999999"/>
    <n v="167.11099999999999"/>
    <n v="167.11099999999999"/>
    <n v="167.11099999999999"/>
    <n v="0"/>
    <x v="0"/>
    <n v="0"/>
    <n v="0"/>
    <n v="84"/>
    <n v="34"/>
    <n v="0"/>
    <n v="123.21"/>
    <n v="201.73"/>
    <m/>
    <n v="131.63353347659393"/>
    <n v="217.52949647748915"/>
    <n v="0"/>
    <n v="20589.746309999999"/>
    <n v="33711.302029999999"/>
    <n v="0"/>
    <n v="21997.411412807087"/>
    <n v="36351.571685849689"/>
  </r>
  <r>
    <s v="Regular"/>
    <x v="0"/>
    <x v="0"/>
    <x v="0"/>
    <x v="0"/>
    <x v="0"/>
    <x v="0"/>
    <x v="0"/>
    <x v="5"/>
    <n v="0"/>
    <n v="0"/>
    <n v="181.792"/>
    <n v="181.792"/>
    <n v="181.792"/>
    <n v="181.792"/>
    <n v="0"/>
    <x v="0"/>
    <n v="0"/>
    <n v="0"/>
    <n v="84"/>
    <n v="34"/>
    <n v="0"/>
    <n v="123.21"/>
    <n v="201.73"/>
    <m/>
    <n v="131.63353347659393"/>
    <n v="217.52949647748915"/>
    <n v="0"/>
    <n v="22398.59232"/>
    <n v="36672.900159999997"/>
    <n v="0"/>
    <n v="23929.923317776964"/>
    <n v="39545.122223635706"/>
  </r>
  <r>
    <s v="Regular"/>
    <x v="0"/>
    <x v="0"/>
    <x v="0"/>
    <x v="0"/>
    <x v="0"/>
    <x v="0"/>
    <x v="0"/>
    <x v="6"/>
    <n v="0"/>
    <n v="0"/>
    <n v="189.65"/>
    <n v="189.65"/>
    <n v="189.65"/>
    <n v="189.65"/>
    <n v="0"/>
    <x v="0"/>
    <n v="0"/>
    <n v="0"/>
    <n v="84"/>
    <n v="34"/>
    <n v="0"/>
    <n v="123.21"/>
    <n v="201.73"/>
    <m/>
    <n v="131.63353347659393"/>
    <n v="217.52949647748915"/>
    <n v="0"/>
    <n v="23366.7765"/>
    <n v="38258.094499999999"/>
    <n v="0"/>
    <n v="24964.299623836039"/>
    <n v="41254.46900695582"/>
  </r>
  <r>
    <s v="Regular"/>
    <x v="0"/>
    <x v="0"/>
    <x v="0"/>
    <x v="0"/>
    <x v="0"/>
    <x v="0"/>
    <x v="0"/>
    <x v="7"/>
    <n v="0"/>
    <n v="0"/>
    <n v="192.94900000000001"/>
    <n v="192.94900000000001"/>
    <n v="192.94900000000001"/>
    <n v="192.94900000000001"/>
    <n v="0"/>
    <x v="0"/>
    <n v="0"/>
    <n v="0"/>
    <n v="84"/>
    <n v="34"/>
    <n v="0"/>
    <n v="123.21"/>
    <n v="201.73"/>
    <m/>
    <n v="131.63353347659393"/>
    <n v="217.52949647748915"/>
    <n v="0"/>
    <n v="23773.246289999999"/>
    <n v="38923.601770000001"/>
    <n v="0"/>
    <n v="25398.558650775321"/>
    <n v="41972.098815835059"/>
  </r>
  <r>
    <s v="Regular"/>
    <x v="0"/>
    <x v="0"/>
    <x v="0"/>
    <x v="0"/>
    <x v="0"/>
    <x v="0"/>
    <x v="0"/>
    <x v="8"/>
    <n v="0"/>
    <n v="0"/>
    <n v="218.02699999999999"/>
    <n v="218.02699999999999"/>
    <n v="218.02699999999999"/>
    <n v="218.02699999999999"/>
    <n v="0"/>
    <x v="0"/>
    <n v="0"/>
    <n v="0"/>
    <n v="84"/>
    <n v="34"/>
    <n v="0"/>
    <n v="123.21"/>
    <n v="201.73"/>
    <m/>
    <n v="131.63353347659393"/>
    <n v="217.52949647748915"/>
    <n v="0"/>
    <n v="26863.106669999997"/>
    <n v="43982.586709999996"/>
    <n v="0"/>
    <n v="28699.664403301344"/>
    <n v="47427.303528497527"/>
  </r>
  <r>
    <s v="Regular"/>
    <x v="0"/>
    <x v="0"/>
    <x v="0"/>
    <x v="0"/>
    <x v="0"/>
    <x v="0"/>
    <x v="0"/>
    <x v="9"/>
    <n v="0"/>
    <n v="0"/>
    <n v="242.20699999999999"/>
    <n v="242.20699999999999"/>
    <n v="242.20699999999999"/>
    <n v="242.20699999999999"/>
    <n v="0"/>
    <x v="0"/>
    <n v="0"/>
    <n v="0"/>
    <n v="84"/>
    <n v="34"/>
    <n v="0"/>
    <n v="123.21"/>
    <n v="201.73"/>
    <m/>
    <n v="131.63353347659393"/>
    <n v="217.52949647748915"/>
    <n v="0"/>
    <n v="29842.324469999996"/>
    <n v="48860.418109999999"/>
    <n v="0"/>
    <n v="31882.563242765384"/>
    <n v="52687.16675332321"/>
  </r>
  <r>
    <s v="Regular"/>
    <x v="0"/>
    <x v="0"/>
    <x v="0"/>
    <x v="0"/>
    <x v="0"/>
    <x v="0"/>
    <x v="0"/>
    <x v="10"/>
    <n v="0"/>
    <n v="0"/>
    <n v="189.31"/>
    <n v="189.31"/>
    <n v="189.31"/>
    <n v="189.31"/>
    <n v="0"/>
    <x v="0"/>
    <n v="0"/>
    <n v="0"/>
    <n v="84"/>
    <n v="34"/>
    <n v="0"/>
    <n v="123.21"/>
    <n v="201.73"/>
    <m/>
    <n v="131.63353347659393"/>
    <n v="217.52949647748915"/>
    <n v="0"/>
    <n v="23324.8851"/>
    <n v="38189.506300000001"/>
    <n v="0"/>
    <n v="24919.544222453995"/>
    <n v="41180.50897815347"/>
  </r>
  <r>
    <s v="Regular"/>
    <x v="0"/>
    <x v="0"/>
    <x v="0"/>
    <x v="0"/>
    <x v="0"/>
    <x v="0"/>
    <x v="0"/>
    <x v="11"/>
    <n v="0"/>
    <n v="0"/>
    <n v="210.745"/>
    <n v="210.745"/>
    <n v="210.745"/>
    <n v="210.745"/>
    <n v="0"/>
    <x v="0"/>
    <n v="0"/>
    <n v="0"/>
    <n v="84"/>
    <n v="34"/>
    <n v="0"/>
    <n v="123.21"/>
    <n v="201.73"/>
    <m/>
    <n v="131.63353347659393"/>
    <n v="217.52949647748915"/>
    <n v="0"/>
    <n v="25965.891449999999"/>
    <n v="42513.58885"/>
    <n v="0"/>
    <n v="27741.109012524787"/>
    <n v="45843.25373514845"/>
  </r>
  <r>
    <s v="Regular"/>
    <x v="0"/>
    <x v="0"/>
    <x v="0"/>
    <x v="0"/>
    <x v="0"/>
    <x v="0"/>
    <x v="1"/>
    <x v="0"/>
    <n v="1190"/>
    <n v="1190"/>
    <n v="0"/>
    <n v="0"/>
    <n v="0"/>
    <n v="0"/>
    <n v="11"/>
    <x v="0"/>
    <n v="0"/>
    <n v="80"/>
    <n v="0"/>
    <n v="0"/>
    <n v="53.08"/>
    <n v="0"/>
    <n v="0"/>
    <n v="67.884943103319998"/>
    <m/>
    <m/>
    <n v="63165.2"/>
    <n v="0"/>
    <n v="0"/>
    <n v="80783.082292950799"/>
    <n v="0"/>
    <n v="0"/>
  </r>
  <r>
    <s v="Regular"/>
    <x v="0"/>
    <x v="0"/>
    <x v="0"/>
    <x v="0"/>
    <x v="0"/>
    <x v="0"/>
    <x v="1"/>
    <x v="1"/>
    <n v="1175"/>
    <n v="1175"/>
    <n v="0"/>
    <n v="0"/>
    <n v="0"/>
    <n v="0"/>
    <n v="11"/>
    <x v="0"/>
    <n v="0"/>
    <n v="80"/>
    <n v="0"/>
    <n v="0"/>
    <n v="53.08"/>
    <n v="0"/>
    <n v="0"/>
    <n v="67.884943103319998"/>
    <m/>
    <m/>
    <n v="62369"/>
    <n v="0"/>
    <n v="0"/>
    <n v="79764.808146401003"/>
    <n v="0"/>
    <n v="0"/>
  </r>
  <r>
    <s v="Regular"/>
    <x v="0"/>
    <x v="0"/>
    <x v="0"/>
    <x v="0"/>
    <x v="0"/>
    <x v="0"/>
    <x v="1"/>
    <x v="2"/>
    <n v="1188"/>
    <n v="1188"/>
    <n v="0"/>
    <n v="0"/>
    <n v="0"/>
    <n v="0"/>
    <n v="11"/>
    <x v="0"/>
    <n v="0"/>
    <n v="80"/>
    <n v="0"/>
    <n v="0"/>
    <n v="53.08"/>
    <n v="0"/>
    <n v="0"/>
    <n v="67.884943103319998"/>
    <m/>
    <m/>
    <n v="63059.040000000001"/>
    <n v="0"/>
    <n v="0"/>
    <n v="80647.312406744153"/>
    <n v="0"/>
    <n v="0"/>
  </r>
  <r>
    <s v="Regular"/>
    <x v="0"/>
    <x v="0"/>
    <x v="0"/>
    <x v="0"/>
    <x v="0"/>
    <x v="0"/>
    <x v="1"/>
    <x v="3"/>
    <n v="1059"/>
    <n v="1059"/>
    <n v="0"/>
    <n v="0"/>
    <n v="0"/>
    <n v="0"/>
    <n v="11"/>
    <x v="0"/>
    <n v="0"/>
    <n v="80"/>
    <n v="0"/>
    <n v="0"/>
    <n v="53.08"/>
    <n v="0"/>
    <n v="0"/>
    <n v="67.884943103319998"/>
    <m/>
    <m/>
    <n v="56211.72"/>
    <n v="0"/>
    <n v="0"/>
    <n v="71890.154746415879"/>
    <n v="0"/>
    <n v="0"/>
  </r>
  <r>
    <s v="Regular"/>
    <x v="0"/>
    <x v="0"/>
    <x v="0"/>
    <x v="0"/>
    <x v="0"/>
    <x v="0"/>
    <x v="1"/>
    <x v="4"/>
    <n v="1053"/>
    <n v="1053"/>
    <n v="0"/>
    <n v="0"/>
    <n v="0"/>
    <n v="0"/>
    <n v="11"/>
    <x v="0"/>
    <n v="0"/>
    <n v="80"/>
    <n v="0"/>
    <n v="0"/>
    <n v="53.08"/>
    <n v="0"/>
    <n v="0"/>
    <n v="67.884943103319998"/>
    <m/>
    <m/>
    <n v="55893.24"/>
    <n v="0"/>
    <n v="0"/>
    <n v="71482.845087795955"/>
    <n v="0"/>
    <n v="0"/>
  </r>
  <r>
    <s v="Regular"/>
    <x v="0"/>
    <x v="0"/>
    <x v="0"/>
    <x v="0"/>
    <x v="0"/>
    <x v="0"/>
    <x v="1"/>
    <x v="5"/>
    <n v="1083"/>
    <n v="1083"/>
    <n v="0"/>
    <n v="0"/>
    <n v="0"/>
    <n v="0"/>
    <n v="11"/>
    <x v="0"/>
    <n v="0"/>
    <n v="80"/>
    <n v="0"/>
    <n v="0"/>
    <n v="53.08"/>
    <n v="0"/>
    <n v="0"/>
    <n v="67.884943103319998"/>
    <m/>
    <m/>
    <n v="57485.64"/>
    <n v="0"/>
    <n v="0"/>
    <n v="73519.393380895563"/>
    <n v="0"/>
    <n v="0"/>
  </r>
  <r>
    <s v="Regular"/>
    <x v="0"/>
    <x v="0"/>
    <x v="0"/>
    <x v="0"/>
    <x v="0"/>
    <x v="0"/>
    <x v="1"/>
    <x v="6"/>
    <n v="1072"/>
    <n v="1072"/>
    <n v="0"/>
    <n v="0"/>
    <n v="0"/>
    <n v="0"/>
    <n v="11"/>
    <x v="0"/>
    <n v="0"/>
    <n v="80"/>
    <n v="0"/>
    <n v="0"/>
    <n v="53.08"/>
    <n v="0"/>
    <n v="0"/>
    <n v="67.884943103319998"/>
    <m/>
    <m/>
    <n v="56901.759999999995"/>
    <n v="0"/>
    <n v="0"/>
    <n v="72772.659006759044"/>
    <n v="0"/>
    <n v="0"/>
  </r>
  <r>
    <s v="Regular"/>
    <x v="0"/>
    <x v="0"/>
    <x v="0"/>
    <x v="0"/>
    <x v="0"/>
    <x v="0"/>
    <x v="1"/>
    <x v="7"/>
    <n v="1119"/>
    <n v="1119"/>
    <n v="0"/>
    <n v="0"/>
    <n v="0"/>
    <n v="0"/>
    <n v="11"/>
    <x v="0"/>
    <n v="0"/>
    <n v="80"/>
    <n v="0"/>
    <n v="0"/>
    <n v="53.08"/>
    <n v="0"/>
    <n v="0"/>
    <n v="67.884943103319998"/>
    <m/>
    <m/>
    <n v="59396.52"/>
    <n v="0"/>
    <n v="0"/>
    <n v="75963.25133261508"/>
    <n v="0"/>
    <n v="0"/>
  </r>
  <r>
    <s v="Regular"/>
    <x v="0"/>
    <x v="0"/>
    <x v="0"/>
    <x v="0"/>
    <x v="0"/>
    <x v="0"/>
    <x v="1"/>
    <x v="8"/>
    <n v="1103"/>
    <n v="1103"/>
    <n v="0"/>
    <n v="0"/>
    <n v="0"/>
    <n v="0"/>
    <n v="11"/>
    <x v="0"/>
    <n v="0"/>
    <n v="80"/>
    <n v="0"/>
    <n v="0"/>
    <n v="53.08"/>
    <n v="0"/>
    <n v="0"/>
    <n v="67.884943103319998"/>
    <m/>
    <m/>
    <n v="58547.24"/>
    <n v="0"/>
    <n v="0"/>
    <n v="74877.092242961953"/>
    <n v="0"/>
    <n v="0"/>
  </r>
  <r>
    <s v="Regular"/>
    <x v="0"/>
    <x v="0"/>
    <x v="0"/>
    <x v="0"/>
    <x v="0"/>
    <x v="0"/>
    <x v="1"/>
    <x v="9"/>
    <n v="1152"/>
    <n v="1152"/>
    <n v="0"/>
    <n v="0"/>
    <n v="0"/>
    <n v="0"/>
    <n v="12"/>
    <x v="0"/>
    <n v="0"/>
    <n v="80"/>
    <n v="0"/>
    <n v="0"/>
    <n v="53.08"/>
    <n v="0"/>
    <n v="0"/>
    <n v="67.884943103319998"/>
    <m/>
    <m/>
    <n v="61148.159999999996"/>
    <n v="0"/>
    <n v="0"/>
    <n v="78203.454455024636"/>
    <n v="0"/>
    <n v="0"/>
  </r>
  <r>
    <s v="Regular"/>
    <x v="0"/>
    <x v="0"/>
    <x v="0"/>
    <x v="0"/>
    <x v="0"/>
    <x v="0"/>
    <x v="1"/>
    <x v="10"/>
    <n v="1202"/>
    <n v="1202"/>
    <n v="0"/>
    <n v="0"/>
    <n v="0"/>
    <n v="0"/>
    <n v="12"/>
    <x v="0"/>
    <n v="0"/>
    <n v="80"/>
    <n v="0"/>
    <n v="0"/>
    <n v="53.08"/>
    <n v="0"/>
    <n v="0"/>
    <n v="67.884943103319998"/>
    <m/>
    <m/>
    <n v="63802.159999999996"/>
    <n v="0"/>
    <n v="0"/>
    <n v="81597.701610190634"/>
    <n v="0"/>
    <n v="0"/>
  </r>
  <r>
    <s v="Regular"/>
    <x v="0"/>
    <x v="0"/>
    <x v="0"/>
    <x v="0"/>
    <x v="0"/>
    <x v="0"/>
    <x v="1"/>
    <x v="11"/>
    <n v="1222"/>
    <n v="1222"/>
    <n v="0"/>
    <n v="0"/>
    <n v="0"/>
    <n v="0"/>
    <n v="12"/>
    <x v="0"/>
    <n v="0"/>
    <n v="80"/>
    <n v="0"/>
    <n v="0"/>
    <n v="53.08"/>
    <n v="0"/>
    <n v="0"/>
    <n v="67.884943103319998"/>
    <m/>
    <m/>
    <n v="64863.759999999995"/>
    <n v="0"/>
    <n v="0"/>
    <n v="82955.400472257039"/>
    <n v="0"/>
    <n v="0"/>
  </r>
  <r>
    <s v="Regular"/>
    <x v="0"/>
    <x v="0"/>
    <x v="0"/>
    <x v="0"/>
    <x v="0"/>
    <x v="0"/>
    <x v="2"/>
    <x v="0"/>
    <n v="0"/>
    <n v="0"/>
    <n v="10.188000000000001"/>
    <n v="10.188000000000001"/>
    <n v="10.188000000000001"/>
    <n v="10.188000000000001"/>
    <n v="0"/>
    <x v="0"/>
    <n v="0"/>
    <n v="0"/>
    <n v="83"/>
    <n v="53"/>
    <n v="0"/>
    <n v="3711.27"/>
    <n v="201.73"/>
    <m/>
    <n v="4778.3789462963377"/>
    <n v="217.52949647748915"/>
    <n v="0"/>
    <n v="37810.41876"/>
    <n v="2055.2252400000002"/>
    <n v="0"/>
    <n v="48682.124704867092"/>
    <n v="2216.1905101126595"/>
  </r>
  <r>
    <s v="Regular"/>
    <x v="0"/>
    <x v="0"/>
    <x v="0"/>
    <x v="0"/>
    <x v="0"/>
    <x v="0"/>
    <x v="2"/>
    <x v="1"/>
    <n v="0"/>
    <n v="0"/>
    <n v="9.8439999999999994"/>
    <n v="9.8439999999999994"/>
    <n v="9.8439999999999994"/>
    <n v="9.8439999999999994"/>
    <n v="0"/>
    <x v="0"/>
    <n v="0"/>
    <n v="0"/>
    <n v="83"/>
    <n v="53"/>
    <n v="0"/>
    <n v="3711.27"/>
    <n v="201.73"/>
    <m/>
    <n v="4778.3789462963377"/>
    <n v="217.52949647748915"/>
    <n v="0"/>
    <n v="36533.741879999994"/>
    <n v="1985.8301199999999"/>
    <n v="0"/>
    <n v="47038.362347341143"/>
    <n v="2141.3603633244029"/>
  </r>
  <r>
    <s v="Regular"/>
    <x v="0"/>
    <x v="0"/>
    <x v="0"/>
    <x v="0"/>
    <x v="0"/>
    <x v="0"/>
    <x v="2"/>
    <x v="2"/>
    <n v="0"/>
    <n v="0"/>
    <n v="10.141999999999999"/>
    <n v="10.141999999999999"/>
    <n v="10.141999999999999"/>
    <n v="10.141999999999999"/>
    <n v="0"/>
    <x v="0"/>
    <n v="0"/>
    <n v="0"/>
    <n v="83"/>
    <n v="53"/>
    <n v="0"/>
    <n v="3711.27"/>
    <n v="201.73"/>
    <m/>
    <n v="4778.3789462963377"/>
    <n v="217.52949647748915"/>
    <n v="0"/>
    <n v="37639.700339999996"/>
    <n v="2045.9456599999999"/>
    <n v="0"/>
    <n v="48462.319273337453"/>
    <n v="2206.1841532746948"/>
  </r>
  <r>
    <s v="Regular"/>
    <x v="0"/>
    <x v="0"/>
    <x v="0"/>
    <x v="0"/>
    <x v="0"/>
    <x v="0"/>
    <x v="2"/>
    <x v="3"/>
    <n v="0"/>
    <n v="0"/>
    <n v="12.973000000000001"/>
    <n v="12.973000000000001"/>
    <n v="12.973000000000001"/>
    <n v="12.973000000000001"/>
    <n v="0"/>
    <x v="0"/>
    <n v="0"/>
    <n v="0"/>
    <n v="83"/>
    <n v="53"/>
    <n v="0"/>
    <n v="3711.27"/>
    <n v="201.73"/>
    <m/>
    <n v="4778.3789462963377"/>
    <n v="217.52949647748915"/>
    <n v="0"/>
    <n v="48146.305710000001"/>
    <n v="2617.0432900000001"/>
    <n v="0"/>
    <n v="61989.910070302394"/>
    <n v="2822.0101578024669"/>
  </r>
  <r>
    <s v="Regular"/>
    <x v="0"/>
    <x v="0"/>
    <x v="0"/>
    <x v="0"/>
    <x v="0"/>
    <x v="0"/>
    <x v="2"/>
    <x v="4"/>
    <n v="0"/>
    <n v="0"/>
    <n v="11.686999999999999"/>
    <n v="11.686999999999999"/>
    <n v="11.686999999999999"/>
    <n v="11.686999999999999"/>
    <n v="0"/>
    <x v="0"/>
    <n v="0"/>
    <n v="0"/>
    <n v="83"/>
    <n v="53"/>
    <n v="0"/>
    <n v="3711.27"/>
    <n v="201.73"/>
    <m/>
    <n v="4778.3789462963377"/>
    <n v="217.52949647748915"/>
    <n v="0"/>
    <n v="43373.61249"/>
    <n v="2357.6185099999998"/>
    <n v="0"/>
    <n v="55844.914745365299"/>
    <n v="2542.2672253324154"/>
  </r>
  <r>
    <s v="Regular"/>
    <x v="0"/>
    <x v="0"/>
    <x v="0"/>
    <x v="0"/>
    <x v="0"/>
    <x v="0"/>
    <x v="2"/>
    <x v="5"/>
    <n v="0"/>
    <n v="0"/>
    <n v="11.996"/>
    <n v="11.996"/>
    <n v="11.996"/>
    <n v="11.996"/>
    <n v="0"/>
    <x v="0"/>
    <n v="0"/>
    <n v="0"/>
    <n v="83"/>
    <n v="53"/>
    <n v="0"/>
    <n v="3711.27"/>
    <n v="201.73"/>
    <m/>
    <n v="4778.3789462963377"/>
    <n v="217.52949647748915"/>
    <n v="0"/>
    <n v="44520.394919999999"/>
    <n v="2419.9530799999998"/>
    <n v="0"/>
    <n v="57321.433839770871"/>
    <n v="2609.4838397439598"/>
  </r>
  <r>
    <s v="Regular"/>
    <x v="0"/>
    <x v="0"/>
    <x v="0"/>
    <x v="0"/>
    <x v="0"/>
    <x v="0"/>
    <x v="2"/>
    <x v="6"/>
    <n v="0"/>
    <n v="0"/>
    <n v="10.98"/>
    <n v="10.98"/>
    <n v="10.98"/>
    <n v="10.98"/>
    <n v="0"/>
    <x v="0"/>
    <n v="0"/>
    <n v="0"/>
    <n v="83"/>
    <n v="53"/>
    <n v="0"/>
    <n v="3711.27"/>
    <n v="201.73"/>
    <m/>
    <n v="4778.3789462963377"/>
    <n v="217.52949647748915"/>
    <n v="0"/>
    <n v="40749.744599999998"/>
    <n v="2214.9953999999998"/>
    <n v="0"/>
    <n v="52466.600830333788"/>
    <n v="2388.4738713228307"/>
  </r>
  <r>
    <s v="Regular"/>
    <x v="0"/>
    <x v="0"/>
    <x v="0"/>
    <x v="0"/>
    <x v="0"/>
    <x v="0"/>
    <x v="2"/>
    <x v="7"/>
    <n v="0"/>
    <n v="0"/>
    <n v="12.537000000000001"/>
    <n v="12.537000000000001"/>
    <n v="12.537000000000001"/>
    <n v="12.537000000000001"/>
    <n v="0"/>
    <x v="0"/>
    <n v="0"/>
    <n v="0"/>
    <n v="83"/>
    <n v="53"/>
    <n v="0"/>
    <n v="3711.27"/>
    <n v="201.73"/>
    <m/>
    <n v="4778.3789462963377"/>
    <n v="217.52949647748915"/>
    <n v="0"/>
    <n v="46528.191989999999"/>
    <n v="2529.0890100000001"/>
    <n v="0"/>
    <n v="59906.536849717188"/>
    <n v="2727.1672973382815"/>
  </r>
  <r>
    <s v="Regular"/>
    <x v="0"/>
    <x v="0"/>
    <x v="0"/>
    <x v="0"/>
    <x v="0"/>
    <x v="0"/>
    <x v="2"/>
    <x v="8"/>
    <n v="0"/>
    <n v="0"/>
    <n v="15.211"/>
    <n v="15.211"/>
    <n v="15.211"/>
    <n v="15.211"/>
    <n v="0"/>
    <x v="0"/>
    <n v="0"/>
    <n v="0"/>
    <n v="83"/>
    <n v="53"/>
    <n v="0"/>
    <n v="3711.27"/>
    <n v="201.73"/>
    <m/>
    <n v="4778.3789462963377"/>
    <n v="217.52949647748915"/>
    <n v="0"/>
    <n v="56452.127970000001"/>
    <n v="3068.51503"/>
    <n v="0"/>
    <n v="72683.922152113591"/>
    <n v="3308.8411709190873"/>
  </r>
  <r>
    <s v="Regular"/>
    <x v="0"/>
    <x v="0"/>
    <x v="0"/>
    <x v="0"/>
    <x v="0"/>
    <x v="0"/>
    <x v="2"/>
    <x v="9"/>
    <n v="0"/>
    <n v="0"/>
    <n v="14.808999999999999"/>
    <n v="14.808999999999999"/>
    <n v="14.808999999999999"/>
    <n v="14.808999999999999"/>
    <n v="0"/>
    <x v="0"/>
    <n v="0"/>
    <n v="0"/>
    <n v="83"/>
    <n v="53"/>
    <n v="0"/>
    <n v="3711.27"/>
    <n v="201.73"/>
    <m/>
    <n v="4778.3789462963377"/>
    <n v="217.52949647748915"/>
    <n v="0"/>
    <n v="54960.19743"/>
    <n v="2987.4195699999996"/>
    <n v="0"/>
    <n v="70763.013815702463"/>
    <n v="3221.3943133351368"/>
  </r>
  <r>
    <s v="Regular"/>
    <x v="0"/>
    <x v="0"/>
    <x v="0"/>
    <x v="0"/>
    <x v="0"/>
    <x v="0"/>
    <x v="2"/>
    <x v="10"/>
    <n v="0"/>
    <n v="0"/>
    <n v="10.999000000000001"/>
    <n v="10.999000000000001"/>
    <n v="10.999000000000001"/>
    <n v="10.999000000000001"/>
    <n v="0"/>
    <x v="0"/>
    <n v="0"/>
    <n v="0"/>
    <n v="83"/>
    <n v="53"/>
    <n v="0"/>
    <n v="3711.27"/>
    <n v="201.73"/>
    <m/>
    <n v="4778.3789462963377"/>
    <n v="217.52949647748915"/>
    <n v="0"/>
    <n v="40820.258730000001"/>
    <n v="2218.82827"/>
    <n v="0"/>
    <n v="52557.390030313421"/>
    <n v="2392.6069317559031"/>
  </r>
  <r>
    <s v="Regular"/>
    <x v="0"/>
    <x v="0"/>
    <x v="0"/>
    <x v="0"/>
    <x v="0"/>
    <x v="0"/>
    <x v="2"/>
    <x v="11"/>
    <n v="0"/>
    <n v="0"/>
    <n v="14.484"/>
    <n v="14.484"/>
    <n v="14.484"/>
    <n v="14.484"/>
    <n v="0"/>
    <x v="0"/>
    <n v="0"/>
    <n v="0"/>
    <n v="83"/>
    <n v="53"/>
    <n v="0"/>
    <n v="3711.27"/>
    <n v="201.73"/>
    <m/>
    <n v="4778.3789462963377"/>
    <n v="217.52949647748915"/>
    <n v="0"/>
    <n v="53754.034679999997"/>
    <n v="2921.8573200000001"/>
    <n v="0"/>
    <n v="69210.040658156155"/>
    <n v="3150.6972269799526"/>
  </r>
  <r>
    <s v="Regular"/>
    <x v="0"/>
    <x v="0"/>
    <x v="1"/>
    <x v="0"/>
    <x v="0"/>
    <x v="0"/>
    <x v="0"/>
    <x v="8"/>
    <n v="0"/>
    <n v="0"/>
    <n v="26.175999999999998"/>
    <n v="26.175999999999998"/>
    <n v="26.175999999999998"/>
    <n v="26.175999999999998"/>
    <n v="0"/>
    <x v="0"/>
    <n v="0"/>
    <n v="0"/>
    <n v="84"/>
    <n v="34"/>
    <n v="0"/>
    <n v="123.21"/>
    <n v="201.73"/>
    <m/>
    <n v="131.63353347659393"/>
    <n v="217.52949647748915"/>
    <n v="0"/>
    <n v="3225.1449599999996"/>
    <n v="5280.4844799999992"/>
    <n v="0"/>
    <n v="3445.6393722833222"/>
    <n v="5694.0520997947551"/>
  </r>
  <r>
    <s v="Regular"/>
    <x v="0"/>
    <x v="0"/>
    <x v="1"/>
    <x v="0"/>
    <x v="0"/>
    <x v="0"/>
    <x v="0"/>
    <x v="9"/>
    <n v="0"/>
    <n v="0"/>
    <n v="25.919"/>
    <n v="25.919"/>
    <n v="25.919"/>
    <n v="25.919"/>
    <n v="0"/>
    <x v="0"/>
    <n v="0"/>
    <n v="0"/>
    <n v="84"/>
    <n v="34"/>
    <n v="0"/>
    <n v="123.21"/>
    <n v="201.73"/>
    <m/>
    <n v="131.63353347659393"/>
    <n v="217.52949647748915"/>
    <n v="0"/>
    <n v="3193.4799899999998"/>
    <n v="5228.63987"/>
    <n v="0"/>
    <n v="3411.809554179838"/>
    <n v="5638.1470192000415"/>
  </r>
  <r>
    <s v="Regular"/>
    <x v="0"/>
    <x v="0"/>
    <x v="1"/>
    <x v="0"/>
    <x v="0"/>
    <x v="0"/>
    <x v="0"/>
    <x v="10"/>
    <n v="0"/>
    <n v="0"/>
    <n v="24.227"/>
    <n v="24.227"/>
    <n v="24.227"/>
    <n v="24.227"/>
    <n v="0"/>
    <x v="0"/>
    <n v="0"/>
    <n v="0"/>
    <n v="84"/>
    <n v="34"/>
    <n v="0"/>
    <n v="123.21"/>
    <n v="201.73"/>
    <m/>
    <n v="131.63353347659393"/>
    <n v="217.52949647748915"/>
    <n v="0"/>
    <n v="2985.0086699999997"/>
    <n v="4887.3127100000002"/>
    <n v="0"/>
    <n v="3189.0856155374408"/>
    <n v="5270.08711116013"/>
  </r>
  <r>
    <s v="Regular"/>
    <x v="0"/>
    <x v="0"/>
    <x v="1"/>
    <x v="0"/>
    <x v="0"/>
    <x v="0"/>
    <x v="0"/>
    <x v="11"/>
    <n v="0"/>
    <n v="0"/>
    <n v="27.097000000000001"/>
    <n v="27.097000000000001"/>
    <n v="27.097000000000001"/>
    <n v="27.097000000000001"/>
    <n v="0"/>
    <x v="0"/>
    <n v="0"/>
    <n v="0"/>
    <n v="84"/>
    <n v="34"/>
    <n v="0"/>
    <n v="123.21"/>
    <n v="201.73"/>
    <m/>
    <n v="131.63353347659393"/>
    <n v="217.52949647748915"/>
    <n v="0"/>
    <n v="3338.6213699999998"/>
    <n v="5466.2778099999996"/>
    <n v="0"/>
    <n v="3566.8738566152656"/>
    <n v="5894.3967660505241"/>
  </r>
  <r>
    <s v="Regular"/>
    <x v="0"/>
    <x v="0"/>
    <x v="1"/>
    <x v="0"/>
    <x v="0"/>
    <x v="0"/>
    <x v="1"/>
    <x v="8"/>
    <n v="125"/>
    <n v="125"/>
    <n v="0"/>
    <n v="0"/>
    <n v="0"/>
    <n v="0"/>
    <n v="1"/>
    <x v="0"/>
    <n v="0"/>
    <n v="80"/>
    <n v="0"/>
    <n v="0"/>
    <n v="53.08"/>
    <n v="0"/>
    <n v="0"/>
    <n v="67.884943103319998"/>
    <m/>
    <m/>
    <n v="6635"/>
    <n v="0"/>
    <n v="0"/>
    <n v="8485.6178879149993"/>
    <n v="0"/>
    <n v="0"/>
  </r>
  <r>
    <s v="Regular"/>
    <x v="0"/>
    <x v="0"/>
    <x v="1"/>
    <x v="0"/>
    <x v="0"/>
    <x v="0"/>
    <x v="1"/>
    <x v="9"/>
    <n v="125"/>
    <n v="125"/>
    <n v="0"/>
    <n v="0"/>
    <n v="0"/>
    <n v="0"/>
    <n v="1"/>
    <x v="0"/>
    <n v="0"/>
    <n v="80"/>
    <n v="0"/>
    <n v="0"/>
    <n v="53.08"/>
    <n v="0"/>
    <n v="0"/>
    <n v="67.884943103319998"/>
    <m/>
    <m/>
    <n v="6635"/>
    <n v="0"/>
    <n v="0"/>
    <n v="8485.6178879149993"/>
    <n v="0"/>
    <n v="0"/>
  </r>
  <r>
    <s v="Regular"/>
    <x v="0"/>
    <x v="0"/>
    <x v="1"/>
    <x v="0"/>
    <x v="0"/>
    <x v="0"/>
    <x v="1"/>
    <x v="10"/>
    <n v="125"/>
    <n v="125"/>
    <n v="0"/>
    <n v="0"/>
    <n v="0"/>
    <n v="0"/>
    <n v="1"/>
    <x v="0"/>
    <n v="0"/>
    <n v="80"/>
    <n v="0"/>
    <n v="0"/>
    <n v="53.08"/>
    <n v="0"/>
    <n v="0"/>
    <n v="67.884943103319998"/>
    <m/>
    <m/>
    <n v="6635"/>
    <n v="0"/>
    <n v="0"/>
    <n v="8485.6178879149993"/>
    <n v="0"/>
    <n v="0"/>
  </r>
  <r>
    <s v="Regular"/>
    <x v="0"/>
    <x v="0"/>
    <x v="1"/>
    <x v="0"/>
    <x v="0"/>
    <x v="0"/>
    <x v="1"/>
    <x v="11"/>
    <n v="125"/>
    <n v="125"/>
    <n v="0"/>
    <n v="0"/>
    <n v="0"/>
    <n v="0"/>
    <n v="1"/>
    <x v="0"/>
    <n v="0"/>
    <n v="80"/>
    <n v="0"/>
    <n v="0"/>
    <n v="53.08"/>
    <n v="0"/>
    <n v="0"/>
    <n v="67.884943103319998"/>
    <m/>
    <m/>
    <n v="6635"/>
    <n v="0"/>
    <n v="0"/>
    <n v="8485.6178879149993"/>
    <n v="0"/>
    <n v="0"/>
  </r>
  <r>
    <s v="Regular"/>
    <x v="0"/>
    <x v="0"/>
    <x v="1"/>
    <x v="0"/>
    <x v="0"/>
    <x v="0"/>
    <x v="2"/>
    <x v="8"/>
    <n v="0"/>
    <n v="0"/>
    <n v="0.32"/>
    <n v="0.32"/>
    <n v="0.32"/>
    <n v="0.32"/>
    <n v="0"/>
    <x v="0"/>
    <n v="0"/>
    <n v="0"/>
    <n v="83"/>
    <n v="53"/>
    <n v="0"/>
    <n v="3711.27"/>
    <n v="201.73"/>
    <m/>
    <n v="4778.3789462963377"/>
    <n v="217.52949647748915"/>
    <n v="0"/>
    <n v="1187.6064000000001"/>
    <n v="64.553600000000003"/>
    <n v="0"/>
    <n v="1529.0812628148281"/>
    <n v="69.609438872796531"/>
  </r>
  <r>
    <s v="Regular"/>
    <x v="0"/>
    <x v="0"/>
    <x v="1"/>
    <x v="0"/>
    <x v="0"/>
    <x v="0"/>
    <x v="2"/>
    <x v="9"/>
    <n v="0"/>
    <n v="0"/>
    <n v="0.307"/>
    <n v="0.307"/>
    <n v="0.307"/>
    <n v="0.307"/>
    <n v="0"/>
    <x v="0"/>
    <n v="0"/>
    <n v="0"/>
    <n v="83"/>
    <n v="53"/>
    <n v="0"/>
    <n v="3711.27"/>
    <n v="201.73"/>
    <m/>
    <n v="4778.3789462963377"/>
    <n v="217.52949647748915"/>
    <n v="0"/>
    <n v="1139.35989"/>
    <n v="61.931109999999997"/>
    <n v="0"/>
    <n v="1466.9623365129758"/>
    <n v="66.781555418589164"/>
  </r>
  <r>
    <s v="Regular"/>
    <x v="0"/>
    <x v="0"/>
    <x v="1"/>
    <x v="0"/>
    <x v="0"/>
    <x v="0"/>
    <x v="2"/>
    <x v="10"/>
    <n v="0"/>
    <n v="0"/>
    <n v="0.26600000000000001"/>
    <n v="0.26600000000000001"/>
    <n v="0.26600000000000001"/>
    <n v="0.26600000000000001"/>
    <n v="0"/>
    <x v="0"/>
    <n v="0"/>
    <n v="0"/>
    <n v="83"/>
    <n v="53"/>
    <n v="0"/>
    <n v="3711.27"/>
    <n v="201.73"/>
    <m/>
    <n v="4778.3789462963377"/>
    <n v="217.52949647748915"/>
    <n v="0"/>
    <n v="987.19782000000009"/>
    <n v="53.660179999999997"/>
    <n v="0"/>
    <n v="1271.0487997148259"/>
    <n v="57.862846063012114"/>
  </r>
  <r>
    <s v="Regular"/>
    <x v="0"/>
    <x v="0"/>
    <x v="1"/>
    <x v="0"/>
    <x v="0"/>
    <x v="0"/>
    <x v="2"/>
    <x v="11"/>
    <n v="0"/>
    <n v="0"/>
    <n v="0.31"/>
    <n v="0.31"/>
    <n v="0.31"/>
    <n v="0.31"/>
    <n v="0"/>
    <x v="0"/>
    <n v="0"/>
    <n v="0"/>
    <n v="83"/>
    <n v="53"/>
    <n v="0"/>
    <n v="3711.27"/>
    <n v="201.73"/>
    <m/>
    <n v="4778.3789462963377"/>
    <n v="217.52949647748915"/>
    <n v="0"/>
    <n v="1150.4937"/>
    <n v="62.536299999999997"/>
    <n v="0"/>
    <n v="1481.2974733518647"/>
    <n v="67.434143908021639"/>
  </r>
  <r>
    <s v="Regular"/>
    <x v="0"/>
    <x v="0"/>
    <x v="2"/>
    <x v="0"/>
    <x v="0"/>
    <x v="0"/>
    <x v="0"/>
    <x v="0"/>
    <n v="0"/>
    <n v="0"/>
    <n v="25.411000000000001"/>
    <n v="24.394560000000002"/>
    <n v="25.411000000000001"/>
    <n v="24.394560000000002"/>
    <n v="0"/>
    <x v="0"/>
    <n v="0"/>
    <n v="0"/>
    <n v="84"/>
    <n v="34"/>
    <n v="0"/>
    <n v="123.21"/>
    <n v="201.73"/>
    <m/>
    <n v="131.63353347659393"/>
    <n v="217.52949647748915"/>
    <n v="0"/>
    <n v="3005.6537376000001"/>
    <n v="4921.1145888000001"/>
    <n v="0"/>
    <n v="3211.1421304067794"/>
    <n v="5306.5363535898978"/>
  </r>
  <r>
    <s v="Regular"/>
    <x v="0"/>
    <x v="0"/>
    <x v="2"/>
    <x v="0"/>
    <x v="0"/>
    <x v="0"/>
    <x v="0"/>
    <x v="1"/>
    <n v="0"/>
    <n v="0"/>
    <n v="21.896000000000001"/>
    <n v="21.020160000000001"/>
    <n v="21.896000000000001"/>
    <n v="21.020160000000001"/>
    <n v="0"/>
    <x v="0"/>
    <n v="0"/>
    <n v="0"/>
    <n v="84"/>
    <n v="34"/>
    <n v="0"/>
    <n v="123.21"/>
    <n v="201.73"/>
    <m/>
    <n v="131.63353347659393"/>
    <n v="217.52949647748915"/>
    <n v="0"/>
    <n v="2589.8939135999999"/>
    <n v="4240.3968767999995"/>
    <n v="0"/>
    <n v="2766.9579350433605"/>
    <n v="4572.5048206762585"/>
  </r>
  <r>
    <s v="Regular"/>
    <x v="0"/>
    <x v="0"/>
    <x v="2"/>
    <x v="0"/>
    <x v="0"/>
    <x v="0"/>
    <x v="0"/>
    <x v="2"/>
    <n v="0"/>
    <n v="0"/>
    <n v="20.742999999999999"/>
    <n v="19.91328"/>
    <n v="20.742999999999999"/>
    <n v="19.91328"/>
    <n v="0"/>
    <x v="0"/>
    <n v="0"/>
    <n v="0"/>
    <n v="84"/>
    <n v="34"/>
    <n v="0"/>
    <n v="123.21"/>
    <n v="201.73"/>
    <m/>
    <n v="131.63353347659393"/>
    <n v="217.52949647748915"/>
    <n v="0"/>
    <n v="2453.5152287999999"/>
    <n v="4017.1059743999999"/>
    <n v="0"/>
    <n v="2621.2554095087885"/>
    <n v="4331.7257716152553"/>
  </r>
  <r>
    <s v="Regular"/>
    <x v="0"/>
    <x v="0"/>
    <x v="2"/>
    <x v="0"/>
    <x v="0"/>
    <x v="0"/>
    <x v="0"/>
    <x v="3"/>
    <n v="0"/>
    <n v="0"/>
    <n v="18.995000000000001"/>
    <n v="18.235199999999999"/>
    <n v="18.995000000000001"/>
    <n v="18.235199999999999"/>
    <n v="0"/>
    <x v="0"/>
    <n v="0"/>
    <n v="0"/>
    <n v="84"/>
    <n v="34"/>
    <n v="0"/>
    <n v="123.21"/>
    <n v="201.73"/>
    <m/>
    <n v="131.63353347659393"/>
    <n v="217.52949647748915"/>
    <n v="0"/>
    <n v="2246.7589919999996"/>
    <n v="3678.5868959999998"/>
    <n v="0"/>
    <n v="2400.3638096523855"/>
    <n v="3966.6938741663098"/>
  </r>
  <r>
    <s v="Regular"/>
    <x v="0"/>
    <x v="0"/>
    <x v="2"/>
    <x v="0"/>
    <x v="0"/>
    <x v="0"/>
    <x v="0"/>
    <x v="4"/>
    <n v="0"/>
    <n v="0"/>
    <n v="19.219000000000001"/>
    <n v="18.450240000000001"/>
    <n v="19.219000000000001"/>
    <n v="18.450240000000001"/>
    <n v="0"/>
    <x v="0"/>
    <n v="0"/>
    <n v="0"/>
    <n v="84"/>
    <n v="34"/>
    <n v="0"/>
    <n v="123.21"/>
    <n v="201.73"/>
    <m/>
    <n v="131.63353347659393"/>
    <n v="217.52949647748915"/>
    <n v="0"/>
    <n v="2273.2540703999998"/>
    <n v="3721.9669152000001"/>
    <n v="0"/>
    <n v="2428.6702846911926"/>
    <n v="4013.4714170888296"/>
  </r>
  <r>
    <s v="Regular"/>
    <x v="0"/>
    <x v="0"/>
    <x v="2"/>
    <x v="0"/>
    <x v="0"/>
    <x v="0"/>
    <x v="0"/>
    <x v="5"/>
    <n v="0"/>
    <n v="0"/>
    <n v="20.25"/>
    <n v="19.440000000000001"/>
    <n v="20.25"/>
    <n v="19.440000000000001"/>
    <n v="0"/>
    <x v="0"/>
    <n v="0"/>
    <n v="0"/>
    <n v="84"/>
    <n v="34"/>
    <n v="0"/>
    <n v="123.21"/>
    <n v="201.73"/>
    <m/>
    <n v="131.63353347659393"/>
    <n v="217.52949647748915"/>
    <n v="0"/>
    <n v="2395.2024000000001"/>
    <n v="3921.6312000000003"/>
    <n v="0"/>
    <n v="2558.955890784986"/>
    <n v="4228.7734115223893"/>
  </r>
  <r>
    <s v="Regular"/>
    <x v="0"/>
    <x v="0"/>
    <x v="2"/>
    <x v="0"/>
    <x v="0"/>
    <x v="0"/>
    <x v="0"/>
    <x v="6"/>
    <n v="0"/>
    <n v="0"/>
    <n v="21.521000000000001"/>
    <n v="20.660160000000001"/>
    <n v="21.521000000000001"/>
    <n v="20.660160000000001"/>
    <n v="0"/>
    <x v="0"/>
    <n v="0"/>
    <n v="0"/>
    <n v="84"/>
    <n v="34"/>
    <n v="0"/>
    <n v="123.21"/>
    <n v="201.73"/>
    <m/>
    <n v="131.63353347659393"/>
    <n v="217.52949647748915"/>
    <n v="0"/>
    <n v="2545.5383136"/>
    <n v="4167.7740768000003"/>
    <n v="0"/>
    <n v="2719.569862991787"/>
    <n v="4494.1942019443622"/>
  </r>
  <r>
    <s v="Regular"/>
    <x v="0"/>
    <x v="0"/>
    <x v="2"/>
    <x v="0"/>
    <x v="0"/>
    <x v="0"/>
    <x v="0"/>
    <x v="7"/>
    <n v="0"/>
    <n v="0"/>
    <n v="23.323"/>
    <n v="22.390080000000001"/>
    <n v="23.323"/>
    <n v="22.390080000000001"/>
    <n v="0"/>
    <x v="0"/>
    <n v="0"/>
    <n v="0"/>
    <n v="84"/>
    <n v="34"/>
    <n v="0"/>
    <n v="123.21"/>
    <n v="201.73"/>
    <m/>
    <n v="131.63353347659393"/>
    <n v="217.52949647748915"/>
    <n v="0"/>
    <n v="2758.6817568000001"/>
    <n v="4516.7508384000002"/>
    <n v="0"/>
    <n v="2947.2853452236163"/>
    <n v="4870.5028284907003"/>
  </r>
  <r>
    <s v="Regular"/>
    <x v="0"/>
    <x v="0"/>
    <x v="2"/>
    <x v="0"/>
    <x v="0"/>
    <x v="0"/>
    <x v="1"/>
    <x v="0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1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2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3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4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5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6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1"/>
    <x v="7"/>
    <n v="125"/>
    <n v="120"/>
    <n v="0"/>
    <n v="0"/>
    <n v="0"/>
    <n v="0"/>
    <n v="1"/>
    <x v="0"/>
    <n v="0"/>
    <n v="80"/>
    <n v="0"/>
    <n v="0"/>
    <n v="53.08"/>
    <n v="0"/>
    <n v="0"/>
    <n v="67.884943103319998"/>
    <m/>
    <m/>
    <n v="6369.5999999999995"/>
    <n v="0"/>
    <n v="0"/>
    <n v="8146.1931723983998"/>
    <n v="0"/>
    <n v="0"/>
  </r>
  <r>
    <s v="Regular"/>
    <x v="0"/>
    <x v="0"/>
    <x v="2"/>
    <x v="0"/>
    <x v="0"/>
    <x v="0"/>
    <x v="2"/>
    <x v="0"/>
    <n v="0"/>
    <n v="0"/>
    <n v="0.378"/>
    <n v="0.36287999999999998"/>
    <n v="0.378"/>
    <n v="0.36287999999999998"/>
    <n v="0"/>
    <x v="0"/>
    <n v="0"/>
    <n v="0"/>
    <n v="83"/>
    <n v="53"/>
    <n v="0"/>
    <n v="3711.27"/>
    <n v="201.73"/>
    <m/>
    <n v="4778.3789462963377"/>
    <n v="217.52949647748915"/>
    <n v="0"/>
    <n v="1346.7456576"/>
    <n v="73.203782399999994"/>
    <n v="0"/>
    <n v="1733.978152032015"/>
    <n v="78.937103681751253"/>
  </r>
  <r>
    <s v="Regular"/>
    <x v="0"/>
    <x v="0"/>
    <x v="2"/>
    <x v="0"/>
    <x v="0"/>
    <x v="0"/>
    <x v="2"/>
    <x v="1"/>
    <n v="0"/>
    <n v="0"/>
    <n v="0.38900000000000001"/>
    <n v="0.37343999999999999"/>
    <n v="0.38900000000000001"/>
    <n v="0.37343999999999999"/>
    <n v="0"/>
    <x v="0"/>
    <n v="0"/>
    <n v="0"/>
    <n v="83"/>
    <n v="53"/>
    <n v="0"/>
    <n v="3711.27"/>
    <n v="201.73"/>
    <m/>
    <n v="4778.3789462963377"/>
    <n v="217.52949647748915"/>
    <n v="0"/>
    <n v="1385.9366688"/>
    <n v="75.33405119999999"/>
    <n v="0"/>
    <n v="1784.4378337049043"/>
    <n v="81.234215164553547"/>
  </r>
  <r>
    <s v="Regular"/>
    <x v="0"/>
    <x v="0"/>
    <x v="2"/>
    <x v="0"/>
    <x v="0"/>
    <x v="0"/>
    <x v="2"/>
    <x v="2"/>
    <n v="0"/>
    <n v="0"/>
    <n v="0.39800000000000002"/>
    <n v="0.38207999999999998"/>
    <n v="0.39800000000000002"/>
    <n v="0.38207999999999998"/>
    <n v="0"/>
    <x v="0"/>
    <n v="0"/>
    <n v="0"/>
    <n v="83"/>
    <n v="53"/>
    <n v="0"/>
    <n v="3711.27"/>
    <n v="201.73"/>
    <m/>
    <n v="4778.3789462963377"/>
    <n v="217.52949647748915"/>
    <n v="0"/>
    <n v="1418.0020416"/>
    <n v="77.076998399999994"/>
    <n v="0"/>
    <n v="1825.7230278009047"/>
    <n v="83.113670014119052"/>
  </r>
  <r>
    <s v="Regular"/>
    <x v="0"/>
    <x v="0"/>
    <x v="2"/>
    <x v="0"/>
    <x v="0"/>
    <x v="0"/>
    <x v="2"/>
    <x v="3"/>
    <n v="0"/>
    <n v="0"/>
    <n v="0.501"/>
    <n v="0.48096"/>
    <n v="0.501"/>
    <n v="0.48096"/>
    <n v="0"/>
    <x v="0"/>
    <n v="0"/>
    <n v="0"/>
    <n v="83"/>
    <n v="53"/>
    <n v="0"/>
    <n v="3711.27"/>
    <n v="201.73"/>
    <m/>
    <n v="4778.3789462963377"/>
    <n v="217.52949647748915"/>
    <n v="0"/>
    <n v="1784.9724191999999"/>
    <n v="97.024060800000001"/>
    <n v="0"/>
    <n v="2298.2091380106867"/>
    <n v="104.62298662581318"/>
  </r>
  <r>
    <s v="Regular"/>
    <x v="0"/>
    <x v="0"/>
    <x v="2"/>
    <x v="0"/>
    <x v="0"/>
    <x v="0"/>
    <x v="2"/>
    <x v="4"/>
    <n v="0"/>
    <n v="0"/>
    <n v="0.30099999999999999"/>
    <n v="0.28895999999999999"/>
    <n v="0.30099999999999999"/>
    <n v="0.28895999999999999"/>
    <n v="0"/>
    <x v="0"/>
    <n v="0"/>
    <n v="0"/>
    <n v="83"/>
    <n v="53"/>
    <n v="0"/>
    <n v="3711.27"/>
    <n v="201.73"/>
    <m/>
    <n v="4778.3789462963377"/>
    <n v="217.52949647748915"/>
    <n v="0"/>
    <n v="1072.4085792000001"/>
    <n v="58.291900799999993"/>
    <n v="0"/>
    <n v="1380.7603803217896"/>
    <n v="62.857323302135264"/>
  </r>
  <r>
    <s v="Regular"/>
    <x v="0"/>
    <x v="0"/>
    <x v="2"/>
    <x v="0"/>
    <x v="0"/>
    <x v="0"/>
    <x v="2"/>
    <x v="5"/>
    <n v="0"/>
    <n v="0"/>
    <n v="0.27100000000000002"/>
    <n v="0.26016"/>
    <n v="0.27100000000000002"/>
    <n v="0.26016"/>
    <n v="0"/>
    <x v="0"/>
    <n v="0"/>
    <n v="0"/>
    <n v="83"/>
    <n v="53"/>
    <n v="0"/>
    <n v="3711.27"/>
    <n v="201.73"/>
    <m/>
    <n v="4778.3789462963377"/>
    <n v="217.52949647748915"/>
    <n v="0"/>
    <n v="965.52400320000004"/>
    <n v="52.482076799999994"/>
    <n v="0"/>
    <n v="1243.1430666684553"/>
    <n v="56.59247380358358"/>
  </r>
  <r>
    <s v="Regular"/>
    <x v="0"/>
    <x v="0"/>
    <x v="2"/>
    <x v="0"/>
    <x v="0"/>
    <x v="0"/>
    <x v="2"/>
    <x v="6"/>
    <n v="0"/>
    <n v="0"/>
    <n v="0.32100000000000001"/>
    <n v="0.30815999999999999"/>
    <n v="0.32100000000000001"/>
    <n v="0.30815999999999999"/>
    <n v="0"/>
    <x v="0"/>
    <n v="0"/>
    <n v="0"/>
    <n v="83"/>
    <n v="53"/>
    <n v="0"/>
    <n v="3711.27"/>
    <n v="201.73"/>
    <m/>
    <n v="4778.3789462963377"/>
    <n v="217.52949647748915"/>
    <n v="0"/>
    <n v="1143.6649631999999"/>
    <n v="62.165116799999993"/>
    <n v="0"/>
    <n v="1472.5052560906795"/>
    <n v="67.033889634503055"/>
  </r>
  <r>
    <s v="Regular"/>
    <x v="0"/>
    <x v="0"/>
    <x v="2"/>
    <x v="0"/>
    <x v="0"/>
    <x v="0"/>
    <x v="2"/>
    <x v="7"/>
    <n v="0"/>
    <n v="0"/>
    <n v="0.34"/>
    <n v="0.32640000000000002"/>
    <n v="0.34"/>
    <n v="0.32640000000000002"/>
    <n v="0"/>
    <x v="0"/>
    <n v="0"/>
    <n v="0"/>
    <n v="83"/>
    <n v="53"/>
    <n v="0"/>
    <n v="3711.27"/>
    <n v="201.73"/>
    <m/>
    <n v="4778.3789462963377"/>
    <n v="217.52949647748915"/>
    <n v="0"/>
    <n v="1211.358528"/>
    <n v="65.844672000000003"/>
    <n v="0"/>
    <n v="1559.6628880711248"/>
    <n v="71.001627650252459"/>
  </r>
  <r>
    <s v="Regular"/>
    <x v="1"/>
    <x v="1"/>
    <x v="3"/>
    <x v="1"/>
    <x v="0"/>
    <x v="0"/>
    <x v="1"/>
    <x v="0"/>
    <n v="0"/>
    <n v="0"/>
    <n v="726.19200000000001"/>
    <n v="726.19200000000001"/>
    <n v="726.19200000000001"/>
    <n v="726.19200000000001"/>
    <n v="4406"/>
    <x v="0"/>
    <n v="0"/>
    <n v="0"/>
    <n v="48"/>
    <n v="31"/>
    <n v="0"/>
    <n v="823.74"/>
    <n v="201.73"/>
    <m/>
    <n v="1027.267676743804"/>
    <n v="217.52949647748915"/>
    <n v="0"/>
    <n v="598193.39807999996"/>
    <n v="146494.71216"/>
    <n v="0"/>
    <n v="745993.56870993658"/>
    <n v="157968.18010598081"/>
  </r>
  <r>
    <s v="Refaturamento - Regular"/>
    <x v="1"/>
    <x v="1"/>
    <x v="3"/>
    <x v="1"/>
    <x v="0"/>
    <x v="0"/>
    <x v="1"/>
    <x v="0"/>
    <n v="0"/>
    <n v="0"/>
    <n v="-0.44700000000000001"/>
    <n v="-0.44700000000000001"/>
    <n v="-0.44700000000000001"/>
    <n v="-0.44700000000000001"/>
    <n v="0"/>
    <x v="0"/>
    <n v="0"/>
    <n v="0"/>
    <n v="48"/>
    <n v="31"/>
    <n v="0"/>
    <n v="823.74"/>
    <n v="201.73"/>
    <m/>
    <n v="1027.267676743804"/>
    <n v="217.52949647748915"/>
    <n v="0"/>
    <n v="-368.21178000000003"/>
    <n v="-90.173310000000001"/>
    <n v="0"/>
    <n v="-459.18865150448039"/>
    <n v="-97.235684925437653"/>
  </r>
  <r>
    <s v="Sistema de Compensação"/>
    <x v="1"/>
    <x v="1"/>
    <x v="3"/>
    <x v="1"/>
    <x v="0"/>
    <x v="0"/>
    <x v="1"/>
    <x v="0"/>
    <n v="0"/>
    <n v="0"/>
    <n v="2.964"/>
    <n v="2.964"/>
    <n v="2.964"/>
    <n v="2.964"/>
    <n v="13"/>
    <x v="0"/>
    <n v="0"/>
    <n v="0"/>
    <n v="48"/>
    <n v="31"/>
    <n v="0"/>
    <n v="823.74"/>
    <n v="201.73"/>
    <m/>
    <n v="1027.267676743804"/>
    <n v="217.52949647748915"/>
    <n v="0"/>
    <n v="2441.5653600000001"/>
    <n v="597.92771999999991"/>
    <n v="0"/>
    <n v="3044.8213938686349"/>
    <n v="644.75742755927786"/>
  </r>
  <r>
    <s v="Regular"/>
    <x v="1"/>
    <x v="1"/>
    <x v="3"/>
    <x v="1"/>
    <x v="0"/>
    <x v="0"/>
    <x v="1"/>
    <x v="1"/>
    <n v="0"/>
    <n v="0"/>
    <n v="682.52300000000002"/>
    <n v="682.52300000000002"/>
    <n v="682.52300000000002"/>
    <n v="682.52300000000002"/>
    <n v="4398"/>
    <x v="0"/>
    <n v="0"/>
    <n v="0"/>
    <n v="48"/>
    <n v="31"/>
    <n v="0"/>
    <n v="823.74"/>
    <n v="201.73"/>
    <m/>
    <n v="1027.267676743804"/>
    <n v="217.52949647748915"/>
    <n v="0"/>
    <n v="562221.49602000008"/>
    <n v="137685.36478999999"/>
    <n v="0"/>
    <n v="701133.81653421139"/>
    <n v="148468.88452430532"/>
  </r>
  <r>
    <s v="Refaturamento - Regular"/>
    <x v="1"/>
    <x v="1"/>
    <x v="3"/>
    <x v="1"/>
    <x v="0"/>
    <x v="0"/>
    <x v="1"/>
    <x v="1"/>
    <n v="0"/>
    <n v="0"/>
    <n v="-0.53200000000000003"/>
    <n v="-0.53200000000000003"/>
    <n v="-0.53200000000000003"/>
    <n v="-0.53200000000000003"/>
    <n v="0"/>
    <x v="0"/>
    <n v="0"/>
    <n v="0"/>
    <n v="48"/>
    <n v="31"/>
    <n v="0"/>
    <n v="823.74"/>
    <n v="201.73"/>
    <m/>
    <n v="1027.267676743804"/>
    <n v="217.52949647748915"/>
    <n v="0"/>
    <n v="-438.22968000000003"/>
    <n v="-107.32035999999999"/>
    <n v="0"/>
    <n v="-546.50640402770375"/>
    <n v="-115.72569212602423"/>
  </r>
  <r>
    <s v="Sistema de Compensação"/>
    <x v="1"/>
    <x v="1"/>
    <x v="3"/>
    <x v="1"/>
    <x v="0"/>
    <x v="0"/>
    <x v="1"/>
    <x v="1"/>
    <n v="0"/>
    <n v="0"/>
    <n v="2.2170000000000001"/>
    <n v="2.2170000000000001"/>
    <n v="2.2170000000000001"/>
    <n v="2.2170000000000001"/>
    <n v="14"/>
    <x v="0"/>
    <n v="0"/>
    <n v="0"/>
    <n v="48"/>
    <n v="31"/>
    <n v="0"/>
    <n v="823.74"/>
    <n v="201.73"/>
    <m/>
    <n v="1027.267676743804"/>
    <n v="217.52949647748915"/>
    <n v="0"/>
    <n v="1826.2315800000001"/>
    <n v="447.23541"/>
    <n v="0"/>
    <n v="2277.4524393410138"/>
    <n v="482.26289369059344"/>
  </r>
  <r>
    <s v="Sistema de Compensação"/>
    <x v="1"/>
    <x v="1"/>
    <x v="3"/>
    <x v="1"/>
    <x v="0"/>
    <x v="0"/>
    <x v="1"/>
    <x v="1"/>
    <n v="0"/>
    <n v="0"/>
    <n v="-2.5999999999999999E-2"/>
    <n v="-2.5999999999999999E-2"/>
    <n v="-2.5999999999999999E-2"/>
    <n v="-2.5999999999999999E-2"/>
    <n v="1"/>
    <x v="0"/>
    <n v="0"/>
    <n v="0"/>
    <n v="48"/>
    <n v="31"/>
    <n v="0"/>
    <n v="823.74"/>
    <n v="201.73"/>
    <m/>
    <n v="1027.267676743804"/>
    <n v="217.52949647748915"/>
    <n v="0"/>
    <n v="-21.41724"/>
    <n v="-5.2449799999999991"/>
    <n v="0"/>
    <n v="-26.708959595338904"/>
    <n v="-5.6557669084147175"/>
  </r>
  <r>
    <s v="Regular"/>
    <x v="1"/>
    <x v="1"/>
    <x v="3"/>
    <x v="1"/>
    <x v="0"/>
    <x v="0"/>
    <x v="1"/>
    <x v="2"/>
    <n v="0"/>
    <n v="0"/>
    <n v="687.22199999999998"/>
    <n v="687.22199999999998"/>
    <n v="687.22199999999998"/>
    <n v="687.22199999999998"/>
    <n v="4420"/>
    <x v="0"/>
    <n v="0"/>
    <n v="0"/>
    <n v="48"/>
    <n v="31"/>
    <n v="0"/>
    <n v="823.74"/>
    <n v="201.73"/>
    <m/>
    <n v="1027.267676743804"/>
    <n v="217.52949647748915"/>
    <n v="0"/>
    <n v="566092.25028000004"/>
    <n v="138633.29405999999"/>
    <n v="0"/>
    <n v="705960.94734723051"/>
    <n v="149491.05562825303"/>
  </r>
  <r>
    <s v="Refaturamento - Regular"/>
    <x v="1"/>
    <x v="1"/>
    <x v="3"/>
    <x v="1"/>
    <x v="0"/>
    <x v="0"/>
    <x v="1"/>
    <x v="2"/>
    <n v="0"/>
    <n v="0"/>
    <n v="-0.436"/>
    <n v="-0.436"/>
    <n v="-0.436"/>
    <n v="-0.436"/>
    <n v="0"/>
    <x v="0"/>
    <n v="0"/>
    <n v="0"/>
    <n v="48"/>
    <n v="31"/>
    <n v="0"/>
    <n v="823.74"/>
    <n v="201.73"/>
    <m/>
    <n v="1027.267676743804"/>
    <n v="217.52949647748915"/>
    <n v="0"/>
    <n v="-359.15064000000001"/>
    <n v="-87.954279999999997"/>
    <n v="0"/>
    <n v="-447.88870706029854"/>
    <n v="-94.842860464185264"/>
  </r>
  <r>
    <s v="Sistema de Compensação"/>
    <x v="1"/>
    <x v="1"/>
    <x v="3"/>
    <x v="1"/>
    <x v="0"/>
    <x v="0"/>
    <x v="1"/>
    <x v="2"/>
    <n v="0"/>
    <n v="0"/>
    <n v="2.7320000000000002"/>
    <n v="2.7320000000000002"/>
    <n v="2.7320000000000002"/>
    <n v="2.7320000000000002"/>
    <n v="14"/>
    <x v="0"/>
    <n v="0"/>
    <n v="0"/>
    <n v="48"/>
    <n v="31"/>
    <n v="0"/>
    <n v="823.74"/>
    <n v="201.73"/>
    <m/>
    <n v="1027.267676743804"/>
    <n v="217.52949647748915"/>
    <n v="0"/>
    <n v="2250.45768"/>
    <n v="551.12635999999998"/>
    <n v="0"/>
    <n v="2806.4952928640728"/>
    <n v="594.29058437650042"/>
  </r>
  <r>
    <s v="Regular"/>
    <x v="1"/>
    <x v="1"/>
    <x v="3"/>
    <x v="1"/>
    <x v="0"/>
    <x v="0"/>
    <x v="1"/>
    <x v="3"/>
    <n v="0"/>
    <n v="0"/>
    <n v="651.87"/>
    <n v="651.87"/>
    <n v="651.87"/>
    <n v="651.87"/>
    <n v="4435"/>
    <x v="0"/>
    <n v="0"/>
    <n v="0"/>
    <n v="48"/>
    <n v="31"/>
    <n v="0"/>
    <n v="823.74"/>
    <n v="201.73"/>
    <m/>
    <n v="1027.267676743804"/>
    <n v="217.52949647748915"/>
    <n v="0"/>
    <n v="536971.39379999996"/>
    <n v="131501.73509999999"/>
    <n v="0"/>
    <n v="669644.98043898353"/>
    <n v="141800.95286878085"/>
  </r>
  <r>
    <s v="Refaturamento - Regular"/>
    <x v="1"/>
    <x v="1"/>
    <x v="3"/>
    <x v="1"/>
    <x v="0"/>
    <x v="0"/>
    <x v="1"/>
    <x v="3"/>
    <n v="0"/>
    <n v="0"/>
    <n v="-0.48"/>
    <n v="-0.48"/>
    <n v="-0.48"/>
    <n v="-0.48"/>
    <n v="0"/>
    <x v="0"/>
    <n v="0"/>
    <n v="0"/>
    <n v="48"/>
    <n v="31"/>
    <n v="0"/>
    <n v="823.74"/>
    <n v="201.73"/>
    <m/>
    <n v="1027.267676743804"/>
    <n v="217.52949647748915"/>
    <n v="0"/>
    <n v="-395.39519999999999"/>
    <n v="-96.830399999999997"/>
    <n v="0"/>
    <n v="-493.08848483702593"/>
    <n v="-104.41415830919479"/>
  </r>
  <r>
    <s v="Sistema de Compensação"/>
    <x v="1"/>
    <x v="1"/>
    <x v="3"/>
    <x v="1"/>
    <x v="0"/>
    <x v="0"/>
    <x v="1"/>
    <x v="3"/>
    <n v="0"/>
    <n v="0"/>
    <n v="2.2919999999999998"/>
    <n v="2.2919999999999998"/>
    <n v="2.2919999999999998"/>
    <n v="2.2919999999999998"/>
    <n v="14"/>
    <x v="0"/>
    <n v="0"/>
    <n v="0"/>
    <n v="48"/>
    <n v="31"/>
    <n v="0"/>
    <n v="823.74"/>
    <n v="201.73"/>
    <m/>
    <n v="1027.267676743804"/>
    <n v="217.52949647748915"/>
    <n v="0"/>
    <n v="1888.01208"/>
    <n v="462.36515999999995"/>
    <n v="0"/>
    <n v="2354.4975150967985"/>
    <n v="498.57760592640511"/>
  </r>
  <r>
    <s v="Regular"/>
    <x v="1"/>
    <x v="1"/>
    <x v="3"/>
    <x v="1"/>
    <x v="0"/>
    <x v="0"/>
    <x v="1"/>
    <x v="4"/>
    <n v="0"/>
    <n v="0"/>
    <n v="698.40700000000004"/>
    <n v="698.40700000000004"/>
    <n v="698.40700000000004"/>
    <n v="698.40700000000004"/>
    <n v="4453"/>
    <x v="0"/>
    <n v="0"/>
    <n v="0"/>
    <n v="48"/>
    <n v="31"/>
    <n v="0"/>
    <n v="823.74"/>
    <n v="201.73"/>
    <m/>
    <n v="1027.267676743804"/>
    <n v="217.52949647748915"/>
    <n v="0"/>
    <n v="575305.7821800001"/>
    <n v="140889.64410999999"/>
    <n v="0"/>
    <n v="717450.93631160993"/>
    <n v="151924.12304635378"/>
  </r>
  <r>
    <s v="Refaturamento - Regular"/>
    <x v="1"/>
    <x v="1"/>
    <x v="3"/>
    <x v="1"/>
    <x v="0"/>
    <x v="0"/>
    <x v="1"/>
    <x v="4"/>
    <n v="0"/>
    <n v="0"/>
    <n v="-0.57799999999999996"/>
    <n v="-0.57799999999999996"/>
    <n v="-0.57799999999999996"/>
    <n v="-0.57799999999999996"/>
    <n v="0"/>
    <x v="0"/>
    <n v="0"/>
    <n v="0"/>
    <n v="48"/>
    <n v="31"/>
    <n v="0"/>
    <n v="823.74"/>
    <n v="201.73"/>
    <m/>
    <n v="1027.267676743804"/>
    <n v="217.52949647748915"/>
    <n v="0"/>
    <n v="-476.12171999999998"/>
    <n v="-116.59993999999999"/>
    <n v="0"/>
    <n v="-593.76071715791863"/>
    <n v="-125.73204896398872"/>
  </r>
  <r>
    <s v="Sistema de Compensação"/>
    <x v="1"/>
    <x v="1"/>
    <x v="3"/>
    <x v="1"/>
    <x v="0"/>
    <x v="0"/>
    <x v="1"/>
    <x v="4"/>
    <n v="0"/>
    <n v="0"/>
    <n v="2.4849999999999999"/>
    <n v="2.4849999999999999"/>
    <n v="2.4849999999999999"/>
    <n v="2.4849999999999999"/>
    <n v="14"/>
    <x v="0"/>
    <n v="0"/>
    <n v="0"/>
    <n v="48"/>
    <n v="31"/>
    <n v="0"/>
    <n v="823.74"/>
    <n v="201.73"/>
    <m/>
    <n v="1027.267676743804"/>
    <n v="217.52949647748915"/>
    <n v="0"/>
    <n v="2046.9938999999999"/>
    <n v="501.29904999999997"/>
    <n v="0"/>
    <n v="2552.7601767083529"/>
    <n v="540.56079874656052"/>
  </r>
  <r>
    <s v="Regular"/>
    <x v="1"/>
    <x v="1"/>
    <x v="3"/>
    <x v="1"/>
    <x v="0"/>
    <x v="0"/>
    <x v="1"/>
    <x v="5"/>
    <n v="0"/>
    <n v="0"/>
    <n v="712.08500000000004"/>
    <n v="712.08500000000004"/>
    <n v="712.08500000000004"/>
    <n v="712.08500000000004"/>
    <n v="4496"/>
    <x v="0"/>
    <n v="0"/>
    <n v="0"/>
    <n v="48"/>
    <n v="31"/>
    <n v="0"/>
    <n v="823.74"/>
    <n v="201.73"/>
    <m/>
    <n v="1027.267676743804"/>
    <n v="217.52949647748915"/>
    <n v="0"/>
    <n v="586572.89789999998"/>
    <n v="143648.90705000001"/>
    <n v="0"/>
    <n v="731501.90359411167"/>
    <n v="154899.49149917287"/>
  </r>
  <r>
    <s v="Refaturamento - Regular"/>
    <x v="1"/>
    <x v="1"/>
    <x v="3"/>
    <x v="1"/>
    <x v="0"/>
    <x v="0"/>
    <x v="1"/>
    <x v="5"/>
    <n v="0"/>
    <n v="0"/>
    <n v="-0.14000000000000001"/>
    <n v="-0.14000000000000001"/>
    <n v="-0.14000000000000001"/>
    <n v="-0.14000000000000001"/>
    <n v="0"/>
    <x v="0"/>
    <n v="0"/>
    <n v="0"/>
    <n v="48"/>
    <n v="31"/>
    <n v="0"/>
    <n v="823.74"/>
    <n v="201.73"/>
    <m/>
    <n v="1027.267676743804"/>
    <n v="217.52949647748915"/>
    <n v="0"/>
    <n v="-115.32360000000001"/>
    <n v="-28.2422"/>
    <n v="0"/>
    <n v="-143.81747474413257"/>
    <n v="-30.454129506848485"/>
  </r>
  <r>
    <s v="Sistema de Compensação"/>
    <x v="1"/>
    <x v="1"/>
    <x v="3"/>
    <x v="1"/>
    <x v="0"/>
    <x v="0"/>
    <x v="1"/>
    <x v="5"/>
    <n v="0"/>
    <n v="0"/>
    <n v="3.589"/>
    <n v="3.589"/>
    <n v="3.589"/>
    <n v="3.589"/>
    <n v="16"/>
    <x v="0"/>
    <n v="0"/>
    <n v="0"/>
    <n v="48"/>
    <n v="31"/>
    <n v="0"/>
    <n v="823.74"/>
    <n v="201.73"/>
    <m/>
    <n v="1027.267676743804"/>
    <n v="217.52949647748915"/>
    <n v="0"/>
    <n v="2956.4028600000001"/>
    <n v="724.00896999999998"/>
    <n v="0"/>
    <n v="3686.8636918335128"/>
    <n v="780.71336285770849"/>
  </r>
  <r>
    <s v="Regular"/>
    <x v="1"/>
    <x v="1"/>
    <x v="3"/>
    <x v="1"/>
    <x v="0"/>
    <x v="0"/>
    <x v="1"/>
    <x v="6"/>
    <n v="0"/>
    <n v="0"/>
    <n v="708.62400000000002"/>
    <n v="708.62400000000002"/>
    <n v="708.62400000000002"/>
    <n v="708.62400000000002"/>
    <n v="4512"/>
    <x v="0"/>
    <n v="0"/>
    <n v="0"/>
    <n v="48"/>
    <n v="31"/>
    <n v="0"/>
    <n v="823.74"/>
    <n v="201.73"/>
    <m/>
    <n v="1027.267676743804"/>
    <n v="217.52949647748915"/>
    <n v="0"/>
    <n v="583721.93376000004"/>
    <n v="142950.71951999998"/>
    <n v="0"/>
    <n v="727946.5301649014"/>
    <n v="154146.62191186426"/>
  </r>
  <r>
    <s v="Refaturamento - Regular"/>
    <x v="1"/>
    <x v="1"/>
    <x v="3"/>
    <x v="1"/>
    <x v="0"/>
    <x v="0"/>
    <x v="1"/>
    <x v="6"/>
    <n v="0"/>
    <n v="0"/>
    <n v="-0.31"/>
    <n v="-0.31"/>
    <n v="-0.31"/>
    <n v="-0.31"/>
    <n v="0"/>
    <x v="0"/>
    <n v="0"/>
    <n v="0"/>
    <n v="48"/>
    <n v="31"/>
    <n v="0"/>
    <n v="823.74"/>
    <n v="201.73"/>
    <m/>
    <n v="1027.267676743804"/>
    <n v="217.52949647748915"/>
    <n v="0"/>
    <n v="-255.35939999999999"/>
    <n v="-62.536299999999997"/>
    <n v="0"/>
    <n v="-318.45297979057926"/>
    <n v="-67.434143908021639"/>
  </r>
  <r>
    <s v="Sistema de Compensação"/>
    <x v="1"/>
    <x v="1"/>
    <x v="3"/>
    <x v="1"/>
    <x v="0"/>
    <x v="0"/>
    <x v="1"/>
    <x v="6"/>
    <n v="0"/>
    <n v="0"/>
    <n v="5.0190000000000001"/>
    <n v="5.0190000000000001"/>
    <n v="5.0190000000000001"/>
    <n v="5.0190000000000001"/>
    <n v="19"/>
    <x v="0"/>
    <n v="0"/>
    <n v="0"/>
    <n v="48"/>
    <n v="31"/>
    <n v="0"/>
    <n v="823.74"/>
    <n v="201.73"/>
    <m/>
    <n v="1027.267676743804"/>
    <n v="217.52949647748915"/>
    <n v="0"/>
    <n v="4134.35106"/>
    <n v="1012.4828699999999"/>
    <n v="0"/>
    <n v="5155.8564695771529"/>
    <n v="1091.7805428205181"/>
  </r>
  <r>
    <s v="Regular"/>
    <x v="1"/>
    <x v="1"/>
    <x v="3"/>
    <x v="1"/>
    <x v="0"/>
    <x v="0"/>
    <x v="1"/>
    <x v="7"/>
    <n v="0"/>
    <n v="0"/>
    <n v="708.08600000000001"/>
    <n v="708.08600000000001"/>
    <n v="708.08600000000001"/>
    <n v="708.08600000000001"/>
    <n v="4526"/>
    <x v="0"/>
    <n v="0"/>
    <n v="0"/>
    <n v="48"/>
    <n v="31"/>
    <n v="0"/>
    <n v="823.74"/>
    <n v="201.73"/>
    <m/>
    <n v="1027.267676743804"/>
    <n v="217.52949647748915"/>
    <n v="0"/>
    <n v="583278.76164000004"/>
    <n v="142842.18878"/>
    <n v="0"/>
    <n v="727393.86015481327"/>
    <n v="154029.59104275939"/>
  </r>
  <r>
    <s v="Refaturamento - Regular"/>
    <x v="1"/>
    <x v="1"/>
    <x v="3"/>
    <x v="1"/>
    <x v="0"/>
    <x v="0"/>
    <x v="1"/>
    <x v="7"/>
    <n v="0"/>
    <n v="0"/>
    <n v="-2.403"/>
    <n v="-2.403"/>
    <n v="-2.403"/>
    <n v="-2.403"/>
    <n v="0"/>
    <x v="0"/>
    <n v="0"/>
    <n v="0"/>
    <n v="48"/>
    <n v="31"/>
    <n v="0"/>
    <n v="823.74"/>
    <n v="201.73"/>
    <m/>
    <n v="1027.267676743804"/>
    <n v="217.52949647748915"/>
    <n v="0"/>
    <n v="-1979.44722"/>
    <n v="-484.75718999999998"/>
    <n v="0"/>
    <n v="-2468.524227215361"/>
    <n v="-522.72338003540642"/>
  </r>
  <r>
    <s v="Sistema de Compensação"/>
    <x v="1"/>
    <x v="1"/>
    <x v="3"/>
    <x v="1"/>
    <x v="0"/>
    <x v="0"/>
    <x v="1"/>
    <x v="7"/>
    <n v="0"/>
    <n v="0"/>
    <n v="3.8450000000000002"/>
    <n v="3.8450000000000002"/>
    <n v="3.8450000000000002"/>
    <n v="3.8450000000000002"/>
    <n v="20"/>
    <x v="0"/>
    <n v="0"/>
    <n v="0"/>
    <n v="48"/>
    <n v="31"/>
    <n v="0"/>
    <n v="823.74"/>
    <n v="201.73"/>
    <m/>
    <n v="1027.267676743804"/>
    <n v="217.52949647748915"/>
    <n v="0"/>
    <n v="3167.2803000000004"/>
    <n v="775.65184999999997"/>
    <n v="0"/>
    <n v="3949.8442170799267"/>
    <n v="836.40091395594584"/>
  </r>
  <r>
    <s v="Regular"/>
    <x v="1"/>
    <x v="1"/>
    <x v="3"/>
    <x v="1"/>
    <x v="0"/>
    <x v="0"/>
    <x v="1"/>
    <x v="8"/>
    <n v="0"/>
    <n v="0"/>
    <n v="721.98400000000004"/>
    <n v="721.98400000000004"/>
    <n v="721.98400000000004"/>
    <n v="721.98400000000004"/>
    <n v="4533"/>
    <x v="0"/>
    <n v="0"/>
    <n v="0"/>
    <n v="48"/>
    <n v="31"/>
    <n v="0"/>
    <n v="823.74"/>
    <n v="201.73"/>
    <m/>
    <n v="1027.267676743804"/>
    <n v="217.52949647748915"/>
    <n v="0"/>
    <n v="594727.10016000003"/>
    <n v="145645.83231999999"/>
    <n v="0"/>
    <n v="741670.82632619864"/>
    <n v="157052.81598480354"/>
  </r>
  <r>
    <s v="Refaturamento - Regular"/>
    <x v="1"/>
    <x v="1"/>
    <x v="3"/>
    <x v="1"/>
    <x v="0"/>
    <x v="0"/>
    <x v="1"/>
    <x v="8"/>
    <n v="0"/>
    <n v="0"/>
    <n v="-0.68899999999999995"/>
    <n v="-0.68899999999999995"/>
    <n v="-0.68899999999999995"/>
    <n v="-0.68899999999999995"/>
    <n v="0"/>
    <x v="0"/>
    <n v="0"/>
    <n v="0"/>
    <n v="48"/>
    <n v="31"/>
    <n v="0"/>
    <n v="823.74"/>
    <n v="201.73"/>
    <m/>
    <n v="1027.267676743804"/>
    <n v="217.52949647748915"/>
    <n v="0"/>
    <n v="-567.55685999999992"/>
    <n v="-138.99196999999998"/>
    <n v="0"/>
    <n v="-707.78742927648091"/>
    <n v="-149.87782307299"/>
  </r>
  <r>
    <s v="Sistema de Compensação"/>
    <x v="1"/>
    <x v="1"/>
    <x v="3"/>
    <x v="1"/>
    <x v="0"/>
    <x v="0"/>
    <x v="1"/>
    <x v="8"/>
    <n v="0"/>
    <n v="0"/>
    <n v="4.524"/>
    <n v="4.524"/>
    <n v="4.524"/>
    <n v="4.524"/>
    <n v="22"/>
    <x v="0"/>
    <n v="0"/>
    <n v="0"/>
    <n v="48"/>
    <n v="31"/>
    <n v="0"/>
    <n v="823.74"/>
    <n v="201.73"/>
    <m/>
    <n v="1027.267676743804"/>
    <n v="217.52949647748915"/>
    <n v="0"/>
    <n v="3726.5997600000001"/>
    <n v="912.62651999999991"/>
    <n v="0"/>
    <n v="4647.3589695889696"/>
    <n v="984.10344206416096"/>
  </r>
  <r>
    <s v="Regular"/>
    <x v="1"/>
    <x v="1"/>
    <x v="3"/>
    <x v="1"/>
    <x v="0"/>
    <x v="0"/>
    <x v="1"/>
    <x v="9"/>
    <n v="0"/>
    <n v="0"/>
    <n v="791.46400000000006"/>
    <n v="791.46400000000006"/>
    <n v="791.46400000000006"/>
    <n v="791.46400000000006"/>
    <n v="4544"/>
    <x v="0"/>
    <n v="0"/>
    <n v="0"/>
    <n v="48"/>
    <n v="31"/>
    <n v="0"/>
    <n v="823.74"/>
    <n v="201.73"/>
    <m/>
    <n v="1027.267676743804"/>
    <n v="217.52949647748915"/>
    <n v="0"/>
    <n v="651960.55536"/>
    <n v="159662.03272000002"/>
    <n v="0"/>
    <n v="813045.38450635818"/>
    <n v="172166.76540005949"/>
  </r>
  <r>
    <s v="Refaturamento - Regular"/>
    <x v="1"/>
    <x v="1"/>
    <x v="3"/>
    <x v="1"/>
    <x v="0"/>
    <x v="0"/>
    <x v="1"/>
    <x v="9"/>
    <n v="0"/>
    <n v="0"/>
    <n v="-9.1999999999999998E-2"/>
    <n v="-9.1999999999999998E-2"/>
    <n v="-9.1999999999999998E-2"/>
    <n v="-9.1999999999999998E-2"/>
    <n v="0"/>
    <x v="0"/>
    <n v="0"/>
    <n v="0"/>
    <n v="48"/>
    <n v="31"/>
    <n v="0"/>
    <n v="823.74"/>
    <n v="201.73"/>
    <m/>
    <n v="1027.267676743804"/>
    <n v="217.52949647748915"/>
    <n v="0"/>
    <n v="-75.784080000000003"/>
    <n v="-18.559159999999999"/>
    <n v="0"/>
    <n v="-94.508626260429963"/>
    <n v="-20.012713675929"/>
  </r>
  <r>
    <s v="Sistema de Compensação"/>
    <x v="1"/>
    <x v="1"/>
    <x v="3"/>
    <x v="1"/>
    <x v="0"/>
    <x v="0"/>
    <x v="1"/>
    <x v="9"/>
    <n v="0"/>
    <n v="0"/>
    <n v="6.7130000000000001"/>
    <n v="6.7130000000000001"/>
    <n v="6.7130000000000001"/>
    <n v="6.7130000000000001"/>
    <n v="24"/>
    <x v="0"/>
    <n v="0"/>
    <n v="0"/>
    <n v="48"/>
    <n v="31"/>
    <n v="0"/>
    <n v="823.74"/>
    <n v="201.73"/>
    <m/>
    <n v="1027.267676743804"/>
    <n v="217.52949647748915"/>
    <n v="0"/>
    <n v="5529.7666200000003"/>
    <n v="1354.2134899999999"/>
    <n v="0"/>
    <n v="6896.0479139811569"/>
    <n v="1460.2755098533846"/>
  </r>
  <r>
    <s v="Regular"/>
    <x v="1"/>
    <x v="1"/>
    <x v="3"/>
    <x v="1"/>
    <x v="0"/>
    <x v="0"/>
    <x v="1"/>
    <x v="10"/>
    <n v="0"/>
    <n v="0"/>
    <n v="769.59500000000003"/>
    <n v="769.59500000000003"/>
    <n v="769.59500000000003"/>
    <n v="769.59500000000003"/>
    <n v="4527"/>
    <x v="0"/>
    <n v="0"/>
    <n v="0"/>
    <n v="48"/>
    <n v="31"/>
    <n v="0"/>
    <n v="823.74"/>
    <n v="201.73"/>
    <m/>
    <n v="1027.267676743804"/>
    <n v="217.52949647748915"/>
    <n v="0"/>
    <n v="633946.18530000001"/>
    <n v="155250.39934999999"/>
    <n v="0"/>
    <n v="790580.06768364785"/>
    <n v="167409.61284159328"/>
  </r>
  <r>
    <s v="Refaturamento - Regular"/>
    <x v="1"/>
    <x v="1"/>
    <x v="3"/>
    <x v="1"/>
    <x v="0"/>
    <x v="0"/>
    <x v="1"/>
    <x v="10"/>
    <n v="0"/>
    <n v="0"/>
    <n v="-0.161"/>
    <n v="-0.161"/>
    <n v="-0.161"/>
    <n v="-0.161"/>
    <n v="0"/>
    <x v="0"/>
    <n v="0"/>
    <n v="0"/>
    <n v="48"/>
    <n v="31"/>
    <n v="0"/>
    <n v="823.74"/>
    <n v="201.73"/>
    <m/>
    <n v="1027.267676743804"/>
    <n v="217.52949647748915"/>
    <n v="0"/>
    <n v="-132.62214"/>
    <n v="-32.478529999999999"/>
    <n v="0"/>
    <n v="-165.39009595575246"/>
    <n v="-35.022248932875755"/>
  </r>
  <r>
    <s v="Sistema de Compensação"/>
    <x v="1"/>
    <x v="1"/>
    <x v="3"/>
    <x v="1"/>
    <x v="0"/>
    <x v="0"/>
    <x v="1"/>
    <x v="10"/>
    <n v="0"/>
    <n v="0"/>
    <n v="4.6079999999999997"/>
    <n v="4.6079999999999997"/>
    <n v="4.6079999999999997"/>
    <n v="4.6079999999999997"/>
    <n v="27"/>
    <x v="0"/>
    <n v="0"/>
    <n v="0"/>
    <n v="48"/>
    <n v="31"/>
    <n v="0"/>
    <n v="823.74"/>
    <n v="201.73"/>
    <m/>
    <n v="1027.267676743804"/>
    <n v="217.52949647748915"/>
    <n v="0"/>
    <n v="3795.7939199999996"/>
    <n v="929.57183999999984"/>
    <n v="0"/>
    <n v="4733.6494544354482"/>
    <n v="1002.3759197682699"/>
  </r>
  <r>
    <s v="Regular"/>
    <x v="1"/>
    <x v="1"/>
    <x v="3"/>
    <x v="1"/>
    <x v="0"/>
    <x v="0"/>
    <x v="1"/>
    <x v="11"/>
    <n v="0"/>
    <n v="0"/>
    <n v="769.95100000000002"/>
    <n v="769.95100000000002"/>
    <n v="769.95100000000002"/>
    <n v="769.95100000000002"/>
    <n v="4388"/>
    <x v="0"/>
    <n v="0"/>
    <n v="0"/>
    <n v="48"/>
    <n v="31"/>
    <n v="0"/>
    <n v="823.74"/>
    <n v="201.73"/>
    <m/>
    <n v="1027.267676743804"/>
    <n v="217.52949647748915"/>
    <n v="0"/>
    <n v="634239.43674000003"/>
    <n v="155322.21523"/>
    <n v="0"/>
    <n v="790945.77497656865"/>
    <n v="167487.05334233926"/>
  </r>
  <r>
    <s v="Refaturamento - Regular"/>
    <x v="1"/>
    <x v="1"/>
    <x v="3"/>
    <x v="1"/>
    <x v="0"/>
    <x v="0"/>
    <x v="1"/>
    <x v="11"/>
    <n v="0"/>
    <n v="0"/>
    <n v="-0.47399999999999998"/>
    <n v="-0.47399999999999998"/>
    <n v="-0.47399999999999998"/>
    <n v="-0.47399999999999998"/>
    <n v="0"/>
    <x v="0"/>
    <n v="0"/>
    <n v="0"/>
    <n v="48"/>
    <n v="31"/>
    <n v="0"/>
    <n v="823.74"/>
    <n v="201.73"/>
    <m/>
    <n v="1027.267676743804"/>
    <n v="217.52949647748915"/>
    <n v="0"/>
    <n v="-390.45276000000001"/>
    <n v="-95.620019999999997"/>
    <n v="0"/>
    <n v="-486.92487877656311"/>
    <n v="-103.10898133032985"/>
  </r>
  <r>
    <s v="Sistema de Compensação"/>
    <x v="1"/>
    <x v="1"/>
    <x v="3"/>
    <x v="1"/>
    <x v="0"/>
    <x v="0"/>
    <x v="1"/>
    <x v="11"/>
    <n v="0"/>
    <n v="0"/>
    <n v="3.9129999999999998"/>
    <n v="3.9129999999999998"/>
    <n v="3.9129999999999998"/>
    <n v="3.9129999999999998"/>
    <n v="28"/>
    <x v="0"/>
    <n v="0"/>
    <n v="0"/>
    <n v="48"/>
    <n v="31"/>
    <n v="0"/>
    <n v="823.74"/>
    <n v="201.73"/>
    <m/>
    <n v="1027.267676743804"/>
    <n v="217.52949647748915"/>
    <n v="0"/>
    <n v="3223.2946199999997"/>
    <n v="789.36948999999993"/>
    <n v="0"/>
    <n v="4019.6984190985049"/>
    <n v="851.19291971641496"/>
  </r>
  <r>
    <s v="Regular"/>
    <x v="1"/>
    <x v="1"/>
    <x v="3"/>
    <x v="2"/>
    <x v="0"/>
    <x v="0"/>
    <x v="1"/>
    <x v="0"/>
    <n v="0"/>
    <n v="0"/>
    <n v="1.89"/>
    <n v="1.89"/>
    <n v="1.89"/>
    <n v="1.89"/>
    <n v="1"/>
    <x v="0"/>
    <n v="0"/>
    <n v="0"/>
    <n v="44"/>
    <n v="32"/>
    <n v="0"/>
    <n v="245.01"/>
    <n v="70.61"/>
    <m/>
    <n v="310.08158575830328"/>
    <n v="76.135323767121193"/>
    <n v="0"/>
    <n v="463.06889999999999"/>
    <n v="133.4529"/>
    <n v="0"/>
    <n v="586.05419708319312"/>
    <n v="143.89576191985904"/>
  </r>
  <r>
    <s v="Regular"/>
    <x v="1"/>
    <x v="1"/>
    <x v="3"/>
    <x v="2"/>
    <x v="0"/>
    <x v="0"/>
    <x v="1"/>
    <x v="1"/>
    <n v="0"/>
    <n v="0"/>
    <n v="2.04"/>
    <n v="2.04"/>
    <n v="2.04"/>
    <n v="2.04"/>
    <n v="0"/>
    <x v="0"/>
    <n v="0"/>
    <n v="0"/>
    <n v="44"/>
    <n v="32"/>
    <n v="0"/>
    <n v="245.01"/>
    <n v="70.61"/>
    <m/>
    <n v="310.08158575830328"/>
    <n v="76.135323767121193"/>
    <n v="0"/>
    <n v="499.82040000000001"/>
    <n v="144.0444"/>
    <n v="0"/>
    <n v="632.56643494693867"/>
    <n v="155.31606048492725"/>
  </r>
  <r>
    <s v="Regular"/>
    <x v="1"/>
    <x v="1"/>
    <x v="3"/>
    <x v="2"/>
    <x v="0"/>
    <x v="0"/>
    <x v="1"/>
    <x v="2"/>
    <n v="0"/>
    <n v="0"/>
    <n v="2.16"/>
    <n v="2.16"/>
    <n v="2.16"/>
    <n v="2.16"/>
    <n v="1"/>
    <x v="0"/>
    <n v="0"/>
    <n v="0"/>
    <n v="44"/>
    <n v="32"/>
    <n v="0"/>
    <n v="245.01"/>
    <n v="70.61"/>
    <m/>
    <n v="310.08158575830328"/>
    <n v="76.135323767121193"/>
    <n v="0"/>
    <n v="529.22159999999997"/>
    <n v="152.51760000000002"/>
    <n v="0"/>
    <n v="669.77622523793514"/>
    <n v="164.45229933698178"/>
  </r>
  <r>
    <s v="Regular"/>
    <x v="1"/>
    <x v="1"/>
    <x v="3"/>
    <x v="2"/>
    <x v="0"/>
    <x v="0"/>
    <x v="1"/>
    <x v="3"/>
    <n v="0"/>
    <n v="0"/>
    <n v="2.2200000000000002"/>
    <n v="2.2200000000000002"/>
    <n v="2.2200000000000002"/>
    <n v="2.2200000000000002"/>
    <n v="2"/>
    <x v="0"/>
    <n v="0"/>
    <n v="0"/>
    <n v="44"/>
    <n v="32"/>
    <n v="0"/>
    <n v="245.01"/>
    <n v="70.61"/>
    <m/>
    <n v="310.08158575830328"/>
    <n v="76.135323767121193"/>
    <n v="0"/>
    <n v="543.92219999999998"/>
    <n v="156.75420000000003"/>
    <n v="0"/>
    <n v="688.38112038343331"/>
    <n v="169.02041876300908"/>
  </r>
  <r>
    <s v="Regular"/>
    <x v="1"/>
    <x v="1"/>
    <x v="3"/>
    <x v="2"/>
    <x v="0"/>
    <x v="0"/>
    <x v="1"/>
    <x v="4"/>
    <n v="0"/>
    <n v="0"/>
    <n v="2.25"/>
    <n v="2.25"/>
    <n v="2.25"/>
    <n v="2.25"/>
    <n v="0"/>
    <x v="0"/>
    <n v="0"/>
    <n v="0"/>
    <n v="44"/>
    <n v="32"/>
    <n v="0"/>
    <n v="245.01"/>
    <n v="70.61"/>
    <m/>
    <n v="310.08158575830328"/>
    <n v="76.135323767121193"/>
    <n v="0"/>
    <n v="551.27250000000004"/>
    <n v="158.8725"/>
    <n v="0"/>
    <n v="697.6835679561824"/>
    <n v="171.30447847602269"/>
  </r>
  <r>
    <s v="Regular"/>
    <x v="1"/>
    <x v="1"/>
    <x v="3"/>
    <x v="2"/>
    <x v="0"/>
    <x v="0"/>
    <x v="1"/>
    <x v="5"/>
    <n v="0"/>
    <n v="0"/>
    <n v="2.34"/>
    <n v="2.34"/>
    <n v="2.34"/>
    <n v="2.34"/>
    <n v="0"/>
    <x v="0"/>
    <n v="0"/>
    <n v="0"/>
    <n v="44"/>
    <n v="32"/>
    <n v="0"/>
    <n v="245.01"/>
    <n v="70.61"/>
    <m/>
    <n v="310.08158575830328"/>
    <n v="76.135323767121193"/>
    <n v="0"/>
    <n v="573.32339999999999"/>
    <n v="165.22739999999999"/>
    <n v="0"/>
    <n v="725.59091067442967"/>
    <n v="178.15665761506358"/>
  </r>
  <r>
    <s v="Regular"/>
    <x v="1"/>
    <x v="1"/>
    <x v="3"/>
    <x v="2"/>
    <x v="0"/>
    <x v="0"/>
    <x v="1"/>
    <x v="6"/>
    <n v="0"/>
    <n v="0"/>
    <n v="2.4900000000000002"/>
    <n v="2.4900000000000002"/>
    <n v="2.4900000000000002"/>
    <n v="2.4900000000000002"/>
    <n v="0"/>
    <x v="0"/>
    <n v="0"/>
    <n v="0"/>
    <n v="44"/>
    <n v="32"/>
    <n v="0"/>
    <n v="245.01"/>
    <n v="70.61"/>
    <m/>
    <n v="310.08158575830328"/>
    <n v="76.135323767121193"/>
    <n v="0"/>
    <n v="610.07490000000007"/>
    <n v="175.81890000000001"/>
    <n v="0"/>
    <n v="772.10314853817522"/>
    <n v="189.57695618013179"/>
  </r>
  <r>
    <s v="Regular"/>
    <x v="1"/>
    <x v="1"/>
    <x v="3"/>
    <x v="2"/>
    <x v="0"/>
    <x v="0"/>
    <x v="1"/>
    <x v="7"/>
    <n v="0"/>
    <n v="0"/>
    <n v="2.7"/>
    <n v="2.7"/>
    <n v="2.7"/>
    <n v="2.7"/>
    <n v="0"/>
    <x v="0"/>
    <n v="0"/>
    <n v="0"/>
    <n v="44"/>
    <n v="32"/>
    <n v="0"/>
    <n v="245.01"/>
    <n v="70.61"/>
    <m/>
    <n v="310.08158575830328"/>
    <n v="76.135323767121193"/>
    <n v="0"/>
    <n v="661.52700000000004"/>
    <n v="190.64700000000002"/>
    <n v="0"/>
    <n v="837.22028154741895"/>
    <n v="205.56537417122723"/>
  </r>
  <r>
    <s v="Regular"/>
    <x v="1"/>
    <x v="1"/>
    <x v="3"/>
    <x v="2"/>
    <x v="0"/>
    <x v="0"/>
    <x v="1"/>
    <x v="8"/>
    <n v="0"/>
    <n v="0"/>
    <n v="2.73"/>
    <n v="2.73"/>
    <n v="2.73"/>
    <n v="2.73"/>
    <n v="1"/>
    <x v="0"/>
    <n v="0"/>
    <n v="0"/>
    <n v="44"/>
    <n v="32"/>
    <n v="0"/>
    <n v="245.01"/>
    <n v="70.61"/>
    <m/>
    <n v="310.08158575830328"/>
    <n v="76.135323767121193"/>
    <n v="0"/>
    <n v="668.87729999999999"/>
    <n v="192.7653"/>
    <n v="0"/>
    <n v="846.52272912016792"/>
    <n v="207.84943388424085"/>
  </r>
  <r>
    <s v="Regular"/>
    <x v="1"/>
    <x v="1"/>
    <x v="3"/>
    <x v="2"/>
    <x v="0"/>
    <x v="0"/>
    <x v="1"/>
    <x v="9"/>
    <n v="0"/>
    <n v="0"/>
    <n v="2.97"/>
    <n v="2.97"/>
    <n v="2.97"/>
    <n v="2.97"/>
    <n v="1"/>
    <x v="0"/>
    <n v="0"/>
    <n v="0"/>
    <n v="44"/>
    <n v="32"/>
    <n v="0"/>
    <n v="245.01"/>
    <n v="70.61"/>
    <m/>
    <n v="310.08158575830328"/>
    <n v="76.135323767121193"/>
    <n v="0"/>
    <n v="727.67970000000003"/>
    <n v="209.71170000000001"/>
    <n v="0"/>
    <n v="920.94230970216074"/>
    <n v="226.12191158834995"/>
  </r>
  <r>
    <s v="Regular"/>
    <x v="1"/>
    <x v="1"/>
    <x v="3"/>
    <x v="2"/>
    <x v="0"/>
    <x v="0"/>
    <x v="1"/>
    <x v="10"/>
    <n v="0"/>
    <n v="0"/>
    <n v="3.36"/>
    <n v="3.36"/>
    <n v="3.36"/>
    <n v="3.36"/>
    <n v="1"/>
    <x v="0"/>
    <n v="0"/>
    <n v="0"/>
    <n v="44"/>
    <n v="32"/>
    <n v="0"/>
    <n v="245.01"/>
    <n v="70.61"/>
    <m/>
    <n v="310.08158575830328"/>
    <n v="76.135323767121193"/>
    <n v="0"/>
    <n v="823.23359999999991"/>
    <n v="237.24959999999999"/>
    <n v="0"/>
    <n v="1041.874128147899"/>
    <n v="255.81468785752719"/>
  </r>
  <r>
    <s v="Regular"/>
    <x v="1"/>
    <x v="1"/>
    <x v="3"/>
    <x v="2"/>
    <x v="0"/>
    <x v="0"/>
    <x v="1"/>
    <x v="11"/>
    <n v="0"/>
    <n v="0"/>
    <n v="7.62"/>
    <n v="7.62"/>
    <n v="7.62"/>
    <n v="7.62"/>
    <n v="11"/>
    <x v="0"/>
    <n v="0"/>
    <n v="0"/>
    <n v="44"/>
    <n v="32"/>
    <n v="0"/>
    <n v="245.01"/>
    <n v="70.61"/>
    <m/>
    <n v="310.08158575830328"/>
    <n v="76.135323767121193"/>
    <n v="0"/>
    <n v="1866.9762000000001"/>
    <n v="538.04819999999995"/>
    <n v="0"/>
    <n v="2362.8216834782711"/>
    <n v="580.15116710546351"/>
  </r>
  <r>
    <s v="Regular"/>
    <x v="1"/>
    <x v="1"/>
    <x v="3"/>
    <x v="3"/>
    <x v="0"/>
    <x v="0"/>
    <x v="1"/>
    <x v="0"/>
    <n v="0"/>
    <n v="0"/>
    <n v="4.13"/>
    <n v="4.13"/>
    <n v="4.13"/>
    <n v="4.13"/>
    <n v="9"/>
    <x v="0"/>
    <n v="0"/>
    <n v="0"/>
    <n v="45"/>
    <n v="33"/>
    <n v="0"/>
    <n v="420.02"/>
    <n v="121.04"/>
    <m/>
    <n v="531.56843272851995"/>
    <n v="130.51769788649349"/>
    <n v="0"/>
    <n v="1734.6825999999999"/>
    <n v="499.89519999999999"/>
    <n v="0"/>
    <n v="2195.3776271687875"/>
    <n v="539.03809227121815"/>
  </r>
  <r>
    <s v="Regular"/>
    <x v="1"/>
    <x v="1"/>
    <x v="3"/>
    <x v="3"/>
    <x v="0"/>
    <x v="0"/>
    <x v="1"/>
    <x v="1"/>
    <n v="0"/>
    <n v="0"/>
    <n v="4.41"/>
    <n v="4.41"/>
    <n v="4.41"/>
    <n v="4.41"/>
    <n v="14"/>
    <x v="0"/>
    <n v="0"/>
    <n v="0"/>
    <n v="45"/>
    <n v="33"/>
    <n v="0"/>
    <n v="420.02"/>
    <n v="121.04"/>
    <m/>
    <n v="531.56843272851995"/>
    <n v="130.51769788649349"/>
    <n v="0"/>
    <n v="1852.2882"/>
    <n v="533.78640000000007"/>
    <n v="0"/>
    <n v="2344.2167883327729"/>
    <n v="575.58304767943628"/>
  </r>
  <r>
    <s v="Regular"/>
    <x v="1"/>
    <x v="1"/>
    <x v="3"/>
    <x v="3"/>
    <x v="0"/>
    <x v="0"/>
    <x v="1"/>
    <x v="2"/>
    <n v="0"/>
    <n v="0"/>
    <n v="4.6740000000000004"/>
    <n v="4.6740000000000004"/>
    <n v="4.6740000000000004"/>
    <n v="4.6740000000000004"/>
    <n v="13"/>
    <x v="0"/>
    <n v="0"/>
    <n v="0"/>
    <n v="45"/>
    <n v="33"/>
    <n v="0"/>
    <n v="420.02"/>
    <n v="121.04"/>
    <m/>
    <n v="531.56843272851995"/>
    <n v="130.51769788649349"/>
    <n v="0"/>
    <n v="1963.1734800000002"/>
    <n v="565.74096000000009"/>
    <n v="0"/>
    <n v="2484.5508545731022"/>
    <n v="610.03971992147069"/>
  </r>
  <r>
    <s v="Regular"/>
    <x v="1"/>
    <x v="1"/>
    <x v="3"/>
    <x v="3"/>
    <x v="0"/>
    <x v="0"/>
    <x v="1"/>
    <x v="3"/>
    <n v="0"/>
    <n v="0"/>
    <n v="4.6449999999999996"/>
    <n v="4.6449999999999996"/>
    <n v="4.6449999999999996"/>
    <n v="4.6449999999999996"/>
    <n v="16"/>
    <x v="0"/>
    <n v="0"/>
    <n v="0"/>
    <n v="45"/>
    <n v="33"/>
    <n v="0"/>
    <n v="420.02"/>
    <n v="121.04"/>
    <m/>
    <n v="531.56843272851995"/>
    <n v="130.51769788649349"/>
    <n v="0"/>
    <n v="1950.9928999999997"/>
    <n v="562.23079999999993"/>
    <n v="0"/>
    <n v="2469.1353700239752"/>
    <n v="606.25470668276228"/>
  </r>
  <r>
    <s v="Regular"/>
    <x v="1"/>
    <x v="1"/>
    <x v="3"/>
    <x v="3"/>
    <x v="0"/>
    <x v="0"/>
    <x v="1"/>
    <x v="4"/>
    <n v="0"/>
    <n v="0"/>
    <n v="4.83"/>
    <n v="4.83"/>
    <n v="4.83"/>
    <n v="4.83"/>
    <n v="17"/>
    <x v="0"/>
    <n v="0"/>
    <n v="0"/>
    <n v="45"/>
    <n v="33"/>
    <n v="0"/>
    <n v="420.02"/>
    <n v="121.04"/>
    <m/>
    <n v="531.56843272851995"/>
    <n v="130.51769788649349"/>
    <n v="0"/>
    <n v="2028.6966"/>
    <n v="584.6232"/>
    <n v="0"/>
    <n v="2567.4755300787515"/>
    <n v="630.40048079176358"/>
  </r>
  <r>
    <s v="Refaturamento - Regular"/>
    <x v="1"/>
    <x v="1"/>
    <x v="3"/>
    <x v="3"/>
    <x v="0"/>
    <x v="0"/>
    <x v="1"/>
    <x v="4"/>
    <n v="0"/>
    <n v="0"/>
    <n v="-0.03"/>
    <n v="-0.03"/>
    <n v="-0.03"/>
    <n v="-0.03"/>
    <n v="0"/>
    <x v="0"/>
    <n v="0"/>
    <n v="0"/>
    <n v="45"/>
    <n v="33"/>
    <n v="0"/>
    <n v="420.02"/>
    <n v="121.04"/>
    <m/>
    <n v="531.56843272851995"/>
    <n v="130.51769788649349"/>
    <n v="0"/>
    <n v="-12.600599999999998"/>
    <n v="-3.6312000000000002"/>
    <n v="0"/>
    <n v="-15.947052981855599"/>
    <n v="-3.9155309365948048"/>
  </r>
  <r>
    <s v="Regular"/>
    <x v="1"/>
    <x v="1"/>
    <x v="3"/>
    <x v="3"/>
    <x v="0"/>
    <x v="0"/>
    <x v="1"/>
    <x v="5"/>
    <n v="0"/>
    <n v="0"/>
    <n v="5.1890000000000001"/>
    <n v="5.1890000000000001"/>
    <n v="5.1890000000000001"/>
    <n v="5.1890000000000001"/>
    <n v="14"/>
    <x v="0"/>
    <n v="0"/>
    <n v="0"/>
    <n v="45"/>
    <n v="33"/>
    <n v="0"/>
    <n v="420.02"/>
    <n v="121.04"/>
    <m/>
    <n v="531.56843272851995"/>
    <n v="130.51769788649349"/>
    <n v="0"/>
    <n v="2179.48378"/>
    <n v="628.07656000000009"/>
    <n v="0"/>
    <n v="2758.3085974282899"/>
    <n v="677.25633433301471"/>
  </r>
  <r>
    <s v="Regular"/>
    <x v="1"/>
    <x v="1"/>
    <x v="3"/>
    <x v="3"/>
    <x v="0"/>
    <x v="0"/>
    <x v="1"/>
    <x v="6"/>
    <n v="0"/>
    <n v="0"/>
    <n v="5.5750000000000002"/>
    <n v="5.5750000000000002"/>
    <n v="5.5750000000000002"/>
    <n v="5.5750000000000002"/>
    <n v="12"/>
    <x v="0"/>
    <n v="0"/>
    <n v="0"/>
    <n v="45"/>
    <n v="33"/>
    <n v="0"/>
    <n v="420.02"/>
    <n v="121.04"/>
    <m/>
    <n v="531.56843272851995"/>
    <n v="130.51769788649349"/>
    <n v="0"/>
    <n v="2341.6115"/>
    <n v="674.798"/>
    <n v="0"/>
    <n v="2963.4940124614986"/>
    <n v="727.63616571720127"/>
  </r>
  <r>
    <s v="Regular"/>
    <x v="1"/>
    <x v="1"/>
    <x v="3"/>
    <x v="3"/>
    <x v="0"/>
    <x v="0"/>
    <x v="1"/>
    <x v="7"/>
    <n v="0"/>
    <n v="0"/>
    <n v="5.9130000000000003"/>
    <n v="5.9130000000000003"/>
    <n v="5.9130000000000003"/>
    <n v="5.9130000000000003"/>
    <n v="19"/>
    <x v="0"/>
    <n v="0"/>
    <n v="0"/>
    <n v="45"/>
    <n v="33"/>
    <n v="0"/>
    <n v="420.02"/>
    <n v="121.04"/>
    <m/>
    <n v="531.56843272851995"/>
    <n v="130.51769788649349"/>
    <n v="0"/>
    <n v="2483.5782599999998"/>
    <n v="715.70952000000011"/>
    <n v="0"/>
    <n v="3143.1641427237387"/>
    <n v="771.75114760283611"/>
  </r>
  <r>
    <s v="Regular"/>
    <x v="1"/>
    <x v="1"/>
    <x v="3"/>
    <x v="3"/>
    <x v="0"/>
    <x v="0"/>
    <x v="1"/>
    <x v="8"/>
    <n v="0"/>
    <n v="0"/>
    <n v="6.1369999999999996"/>
    <n v="6.1369999999999996"/>
    <n v="6.1369999999999996"/>
    <n v="6.1369999999999996"/>
    <n v="9"/>
    <x v="0"/>
    <n v="0"/>
    <n v="0"/>
    <n v="45"/>
    <n v="33"/>
    <n v="0"/>
    <n v="420.02"/>
    <n v="121.04"/>
    <m/>
    <n v="531.56843272851995"/>
    <n v="130.51769788649349"/>
    <n v="0"/>
    <n v="2577.6627399999998"/>
    <n v="742.82248000000004"/>
    <n v="0"/>
    <n v="3262.2354716549266"/>
    <n v="800.9871119294105"/>
  </r>
  <r>
    <s v="Refaturamento - Regular"/>
    <x v="1"/>
    <x v="1"/>
    <x v="3"/>
    <x v="3"/>
    <x v="0"/>
    <x v="0"/>
    <x v="1"/>
    <x v="8"/>
    <n v="0"/>
    <n v="0"/>
    <n v="-0.01"/>
    <n v="-0.01"/>
    <n v="-0.01"/>
    <n v="-0.01"/>
    <n v="0"/>
    <x v="0"/>
    <n v="0"/>
    <n v="0"/>
    <n v="45"/>
    <n v="33"/>
    <n v="0"/>
    <n v="420.02"/>
    <n v="121.04"/>
    <m/>
    <n v="531.56843272851995"/>
    <n v="130.51769788649349"/>
    <n v="0"/>
    <n v="-4.2001999999999997"/>
    <n v="-1.2104000000000001"/>
    <n v="0"/>
    <n v="-5.3156843272851999"/>
    <n v="-1.305176978864935"/>
  </r>
  <r>
    <s v="Regular"/>
    <x v="1"/>
    <x v="1"/>
    <x v="3"/>
    <x v="3"/>
    <x v="0"/>
    <x v="0"/>
    <x v="1"/>
    <x v="9"/>
    <n v="0"/>
    <n v="0"/>
    <n v="6.6760000000000002"/>
    <n v="6.6760000000000002"/>
    <n v="6.6760000000000002"/>
    <n v="6.6760000000000002"/>
    <n v="10"/>
    <x v="0"/>
    <n v="0"/>
    <n v="0"/>
    <n v="45"/>
    <n v="33"/>
    <n v="0"/>
    <n v="420.02"/>
    <n v="121.04"/>
    <m/>
    <n v="531.56843272851995"/>
    <n v="130.51769788649349"/>
    <n v="0"/>
    <n v="2804.0535199999999"/>
    <n v="808.06304000000011"/>
    <n v="0"/>
    <n v="3548.7508568955991"/>
    <n v="871.3361510902306"/>
  </r>
  <r>
    <s v="Regular"/>
    <x v="1"/>
    <x v="1"/>
    <x v="3"/>
    <x v="3"/>
    <x v="0"/>
    <x v="0"/>
    <x v="1"/>
    <x v="10"/>
    <n v="0"/>
    <n v="0"/>
    <n v="7.4710000000000001"/>
    <n v="7.4710000000000001"/>
    <n v="7.4710000000000001"/>
    <n v="7.4710000000000001"/>
    <n v="13"/>
    <x v="0"/>
    <n v="0"/>
    <n v="0"/>
    <n v="45"/>
    <n v="33"/>
    <n v="0"/>
    <n v="420.02"/>
    <n v="121.04"/>
    <m/>
    <n v="531.56843272851995"/>
    <n v="130.51769788649349"/>
    <n v="0"/>
    <n v="3137.9694199999999"/>
    <n v="904.28984000000003"/>
    <n v="0"/>
    <n v="3971.3477609147726"/>
    <n v="975.09772090999286"/>
  </r>
  <r>
    <s v="Regular"/>
    <x v="1"/>
    <x v="1"/>
    <x v="3"/>
    <x v="3"/>
    <x v="0"/>
    <x v="0"/>
    <x v="1"/>
    <x v="11"/>
    <n v="0"/>
    <n v="0"/>
    <n v="15.465"/>
    <n v="15.465"/>
    <n v="15.465"/>
    <n v="15.465"/>
    <n v="53"/>
    <x v="0"/>
    <n v="0"/>
    <n v="0"/>
    <n v="45"/>
    <n v="33"/>
    <n v="0"/>
    <n v="420.02"/>
    <n v="121.04"/>
    <m/>
    <n v="531.56843272851995"/>
    <n v="130.51769788649349"/>
    <n v="0"/>
    <n v="6495.6093000000001"/>
    <n v="1871.8836000000001"/>
    <n v="0"/>
    <n v="8220.7058121465616"/>
    <n v="2018.4561978146219"/>
  </r>
  <r>
    <s v="Regular"/>
    <x v="1"/>
    <x v="1"/>
    <x v="3"/>
    <x v="4"/>
    <x v="0"/>
    <x v="0"/>
    <x v="1"/>
    <x v="0"/>
    <n v="0"/>
    <n v="0"/>
    <n v="3.9220000000000002"/>
    <n v="3.9220000000000002"/>
    <n v="3.9220000000000002"/>
    <n v="3.9220000000000002"/>
    <n v="39"/>
    <x v="0"/>
    <n v="0"/>
    <n v="0"/>
    <n v="40"/>
    <n v="27"/>
    <n v="0"/>
    <n v="630.02"/>
    <n v="181.56"/>
    <m/>
    <n v="797.35264909277998"/>
    <n v="195.77654682974023"/>
    <n v="0"/>
    <n v="2470.9384399999999"/>
    <n v="712.07832000000008"/>
    <n v="0"/>
    <n v="3127.2170897418832"/>
    <n v="767.83561666624121"/>
  </r>
  <r>
    <s v="Regular"/>
    <x v="1"/>
    <x v="1"/>
    <x v="3"/>
    <x v="4"/>
    <x v="0"/>
    <x v="0"/>
    <x v="1"/>
    <x v="1"/>
    <n v="0"/>
    <n v="0"/>
    <n v="3.9279999999999999"/>
    <n v="3.9279999999999999"/>
    <n v="3.9279999999999999"/>
    <n v="3.9279999999999999"/>
    <n v="44"/>
    <x v="0"/>
    <n v="0"/>
    <n v="0"/>
    <n v="40"/>
    <n v="27"/>
    <n v="0"/>
    <n v="630.02"/>
    <n v="181.56"/>
    <m/>
    <n v="797.35264909277998"/>
    <n v="195.77654682974023"/>
    <n v="0"/>
    <n v="2474.7185599999998"/>
    <n v="713.16768000000002"/>
    <n v="0"/>
    <n v="3132.0012056364399"/>
    <n v="769.01027594721961"/>
  </r>
  <r>
    <s v="Regular"/>
    <x v="1"/>
    <x v="1"/>
    <x v="3"/>
    <x v="4"/>
    <x v="0"/>
    <x v="0"/>
    <x v="1"/>
    <x v="2"/>
    <n v="0"/>
    <n v="0"/>
    <n v="3.9359999999999999"/>
    <n v="3.9359999999999999"/>
    <n v="3.9359999999999999"/>
    <n v="3.9359999999999999"/>
    <n v="50"/>
    <x v="0"/>
    <n v="0"/>
    <n v="0"/>
    <n v="40"/>
    <n v="27"/>
    <n v="0"/>
    <n v="630.02"/>
    <n v="181.56"/>
    <m/>
    <n v="797.35264909277998"/>
    <n v="195.77654682974023"/>
    <n v="0"/>
    <n v="2479.7587199999998"/>
    <n v="714.62016000000006"/>
    <n v="0"/>
    <n v="3138.380026829182"/>
    <n v="770.57648832185748"/>
  </r>
  <r>
    <s v="Regular"/>
    <x v="1"/>
    <x v="1"/>
    <x v="3"/>
    <x v="4"/>
    <x v="0"/>
    <x v="0"/>
    <x v="1"/>
    <x v="3"/>
    <n v="0"/>
    <n v="0"/>
    <n v="3.504"/>
    <n v="3.504"/>
    <n v="3.504"/>
    <n v="3.504"/>
    <n v="45"/>
    <x v="0"/>
    <n v="0"/>
    <n v="0"/>
    <n v="40"/>
    <n v="27"/>
    <n v="0"/>
    <n v="630.02"/>
    <n v="181.56"/>
    <m/>
    <n v="797.35264909277998"/>
    <n v="195.77654682974023"/>
    <n v="0"/>
    <n v="2207.5900799999999"/>
    <n v="636.18624"/>
    <n v="0"/>
    <n v="2793.9236824211011"/>
    <n v="686.00102009140971"/>
  </r>
  <r>
    <s v="Regular"/>
    <x v="1"/>
    <x v="1"/>
    <x v="3"/>
    <x v="4"/>
    <x v="0"/>
    <x v="0"/>
    <x v="1"/>
    <x v="4"/>
    <n v="0"/>
    <n v="0"/>
    <n v="3.944"/>
    <n v="3.944"/>
    <n v="3.944"/>
    <n v="3.944"/>
    <n v="45"/>
    <x v="0"/>
    <n v="0"/>
    <n v="0"/>
    <n v="40"/>
    <n v="27"/>
    <n v="0"/>
    <n v="630.02"/>
    <n v="181.56"/>
    <m/>
    <n v="797.35264909277998"/>
    <n v="195.77654682974023"/>
    <n v="0"/>
    <n v="2484.7988799999998"/>
    <n v="716.07263999999998"/>
    <n v="0"/>
    <n v="3144.7588480219242"/>
    <n v="772.14270069649547"/>
  </r>
  <r>
    <s v="Refaturamento - Regular"/>
    <x v="1"/>
    <x v="1"/>
    <x v="3"/>
    <x v="4"/>
    <x v="0"/>
    <x v="0"/>
    <x v="1"/>
    <x v="4"/>
    <n v="0"/>
    <n v="0"/>
    <n v="-4.1000000000000002E-2"/>
    <n v="-4.1000000000000002E-2"/>
    <n v="-4.1000000000000002E-2"/>
    <n v="-4.1000000000000002E-2"/>
    <n v="0"/>
    <x v="0"/>
    <n v="0"/>
    <n v="0"/>
    <n v="40"/>
    <n v="27"/>
    <n v="0"/>
    <n v="630.02"/>
    <n v="181.56"/>
    <m/>
    <n v="797.35264909277998"/>
    <n v="195.77654682974023"/>
    <n v="0"/>
    <n v="-25.830819999999999"/>
    <n v="-7.4439600000000006"/>
    <n v="0"/>
    <n v="-32.691458612803977"/>
    <n v="-8.0268384200193488"/>
  </r>
  <r>
    <s v="Regular"/>
    <x v="1"/>
    <x v="1"/>
    <x v="3"/>
    <x v="4"/>
    <x v="0"/>
    <x v="0"/>
    <x v="1"/>
    <x v="5"/>
    <n v="0"/>
    <n v="0"/>
    <n v="4.8330000000000002"/>
    <n v="4.8330000000000002"/>
    <n v="4.8330000000000002"/>
    <n v="4.8330000000000002"/>
    <n v="44"/>
    <x v="0"/>
    <n v="0"/>
    <n v="0"/>
    <n v="40"/>
    <n v="27"/>
    <n v="0"/>
    <n v="630.02"/>
    <n v="181.56"/>
    <m/>
    <n v="797.35264909277998"/>
    <n v="195.77654682974023"/>
    <n v="0"/>
    <n v="3044.8866600000001"/>
    <n v="877.47948000000008"/>
    <n v="0"/>
    <n v="3853.6053530654058"/>
    <n v="946.18805082813458"/>
  </r>
  <r>
    <s v="Regular"/>
    <x v="1"/>
    <x v="1"/>
    <x v="3"/>
    <x v="4"/>
    <x v="0"/>
    <x v="0"/>
    <x v="1"/>
    <x v="6"/>
    <n v="0"/>
    <n v="0"/>
    <n v="4.8239999999999998"/>
    <n v="4.8239999999999998"/>
    <n v="4.8239999999999998"/>
    <n v="4.8239999999999998"/>
    <n v="55"/>
    <x v="0"/>
    <n v="0"/>
    <n v="0"/>
    <n v="40"/>
    <n v="27"/>
    <n v="0"/>
    <n v="630.02"/>
    <n v="181.56"/>
    <m/>
    <n v="797.35264909277998"/>
    <n v="195.77654682974023"/>
    <n v="0"/>
    <n v="3039.2164799999996"/>
    <n v="875.84543999999994"/>
    <n v="0"/>
    <n v="3846.4291792235704"/>
    <n v="944.42606190666686"/>
  </r>
  <r>
    <s v="Regular"/>
    <x v="1"/>
    <x v="1"/>
    <x v="3"/>
    <x v="4"/>
    <x v="0"/>
    <x v="0"/>
    <x v="1"/>
    <x v="7"/>
    <n v="0"/>
    <n v="0"/>
    <n v="4.6840000000000002"/>
    <n v="4.6840000000000002"/>
    <n v="4.6840000000000002"/>
    <n v="4.6840000000000002"/>
    <n v="54"/>
    <x v="0"/>
    <n v="0"/>
    <n v="0"/>
    <n v="40"/>
    <n v="27"/>
    <n v="0"/>
    <n v="630.02"/>
    <n v="181.56"/>
    <m/>
    <n v="797.35264909277998"/>
    <n v="195.77654682974023"/>
    <n v="0"/>
    <n v="2951.01368"/>
    <n v="850.42704000000003"/>
    <n v="0"/>
    <n v="3734.7998083505818"/>
    <n v="917.01734535050321"/>
  </r>
  <r>
    <s v="Regular"/>
    <x v="1"/>
    <x v="1"/>
    <x v="3"/>
    <x v="4"/>
    <x v="0"/>
    <x v="0"/>
    <x v="1"/>
    <x v="8"/>
    <n v="0"/>
    <n v="0"/>
    <n v="5.4850000000000003"/>
    <n v="5.4850000000000003"/>
    <n v="5.4850000000000003"/>
    <n v="5.4850000000000003"/>
    <n v="62"/>
    <x v="0"/>
    <n v="0"/>
    <n v="0"/>
    <n v="40"/>
    <n v="27"/>
    <n v="0"/>
    <n v="630.02"/>
    <n v="181.56"/>
    <m/>
    <n v="797.35264909277998"/>
    <n v="195.77654682974023"/>
    <n v="0"/>
    <n v="3455.6597000000002"/>
    <n v="995.85660000000007"/>
    <n v="0"/>
    <n v="4373.4792802738984"/>
    <n v="1073.8343593611253"/>
  </r>
  <r>
    <s v="Refaturamento - Regular"/>
    <x v="1"/>
    <x v="1"/>
    <x v="3"/>
    <x v="4"/>
    <x v="0"/>
    <x v="0"/>
    <x v="1"/>
    <x v="8"/>
    <n v="0"/>
    <n v="0"/>
    <n v="-5.1999999999999998E-2"/>
    <n v="-5.1999999999999998E-2"/>
    <n v="-5.1999999999999998E-2"/>
    <n v="-5.1999999999999998E-2"/>
    <n v="0"/>
    <x v="0"/>
    <n v="0"/>
    <n v="0"/>
    <n v="40"/>
    <n v="27"/>
    <n v="0"/>
    <n v="630.02"/>
    <n v="181.56"/>
    <m/>
    <n v="797.35264909277998"/>
    <n v="195.77654682974023"/>
    <n v="0"/>
    <n v="-32.761039999999994"/>
    <n v="-9.4411199999999997"/>
    <n v="0"/>
    <n v="-41.46233775282456"/>
    <n v="-10.180380435146491"/>
  </r>
  <r>
    <s v="Regular"/>
    <x v="1"/>
    <x v="1"/>
    <x v="3"/>
    <x v="4"/>
    <x v="0"/>
    <x v="0"/>
    <x v="1"/>
    <x v="9"/>
    <n v="0"/>
    <n v="0"/>
    <n v="6.1559999999999997"/>
    <n v="6.1559999999999997"/>
    <n v="6.1559999999999997"/>
    <n v="6.1559999999999997"/>
    <n v="70"/>
    <x v="0"/>
    <n v="0"/>
    <n v="0"/>
    <n v="40"/>
    <n v="27"/>
    <n v="0"/>
    <n v="630.02"/>
    <n v="181.56"/>
    <m/>
    <n v="797.35264909277998"/>
    <n v="195.77654682974023"/>
    <n v="0"/>
    <n v="3878.4031199999995"/>
    <n v="1117.68336"/>
    <n v="0"/>
    <n v="4908.5029078151538"/>
    <n v="1205.2004222838807"/>
  </r>
  <r>
    <s v="Regular"/>
    <x v="1"/>
    <x v="1"/>
    <x v="3"/>
    <x v="4"/>
    <x v="0"/>
    <x v="0"/>
    <x v="1"/>
    <x v="10"/>
    <n v="0"/>
    <n v="0"/>
    <n v="6.8220000000000001"/>
    <n v="6.8220000000000001"/>
    <n v="6.8220000000000001"/>
    <n v="6.8220000000000001"/>
    <n v="72"/>
    <x v="0"/>
    <n v="0"/>
    <n v="0"/>
    <n v="40"/>
    <n v="27"/>
    <n v="0"/>
    <n v="630.02"/>
    <n v="181.56"/>
    <m/>
    <n v="797.35264909277998"/>
    <n v="195.77654682974023"/>
    <n v="0"/>
    <n v="4297.9964399999999"/>
    <n v="1238.60232"/>
    <n v="0"/>
    <n v="5439.5397721109448"/>
    <n v="1335.5876024724878"/>
  </r>
  <r>
    <s v="Regular"/>
    <x v="1"/>
    <x v="1"/>
    <x v="3"/>
    <x v="4"/>
    <x v="0"/>
    <x v="0"/>
    <x v="1"/>
    <x v="11"/>
    <n v="0"/>
    <n v="0"/>
    <n v="12.817"/>
    <n v="12.817"/>
    <n v="12.817"/>
    <n v="12.817"/>
    <n v="145"/>
    <x v="0"/>
    <n v="0"/>
    <n v="0"/>
    <n v="40"/>
    <n v="27"/>
    <n v="0"/>
    <n v="630.02"/>
    <n v="181.56"/>
    <m/>
    <n v="797.35264909277998"/>
    <n v="195.77654682974023"/>
    <n v="0"/>
    <n v="8074.9663399999999"/>
    <n v="2327.0545200000001"/>
    <n v="0"/>
    <n v="10219.668903422162"/>
    <n v="2509.2680007167805"/>
  </r>
  <r>
    <s v="Regular"/>
    <x v="1"/>
    <x v="1"/>
    <x v="3"/>
    <x v="5"/>
    <x v="0"/>
    <x v="0"/>
    <x v="1"/>
    <x v="0"/>
    <n v="0"/>
    <n v="0"/>
    <n v="1.7529999999999999"/>
    <n v="1.7529999999999999"/>
    <n v="1.7529999999999999"/>
    <n v="1.7529999999999999"/>
    <n v="14"/>
    <x v="0"/>
    <n v="0"/>
    <n v="0"/>
    <n v="41"/>
    <n v="28"/>
    <n v="0"/>
    <n v="700.03"/>
    <n v="201.73"/>
    <m/>
    <n v="885.94738788086659"/>
    <n v="217.52949647748915"/>
    <n v="0"/>
    <n v="1227.1525899999999"/>
    <n v="353.63268999999997"/>
    <n v="0"/>
    <n v="1553.065770955159"/>
    <n v="381.32920732503845"/>
  </r>
  <r>
    <s v="Regular"/>
    <x v="1"/>
    <x v="1"/>
    <x v="3"/>
    <x v="5"/>
    <x v="0"/>
    <x v="0"/>
    <x v="1"/>
    <x v="1"/>
    <n v="0"/>
    <n v="0"/>
    <n v="1.304"/>
    <n v="1.304"/>
    <n v="1.304"/>
    <n v="1.304"/>
    <n v="10"/>
    <x v="0"/>
    <n v="0"/>
    <n v="0"/>
    <n v="41"/>
    <n v="28"/>
    <n v="0"/>
    <n v="700.03"/>
    <n v="201.73"/>
    <m/>
    <n v="885.94738788086659"/>
    <n v="217.52949647748915"/>
    <n v="0"/>
    <n v="912.83911999999998"/>
    <n v="263.05592000000001"/>
    <n v="0"/>
    <n v="1155.2753937966502"/>
    <n v="283.65846340664586"/>
  </r>
  <r>
    <s v="Regular"/>
    <x v="1"/>
    <x v="1"/>
    <x v="3"/>
    <x v="5"/>
    <x v="0"/>
    <x v="0"/>
    <x v="1"/>
    <x v="2"/>
    <n v="0"/>
    <n v="0"/>
    <n v="1.218"/>
    <n v="1.218"/>
    <n v="1.218"/>
    <n v="1.218"/>
    <n v="8"/>
    <x v="0"/>
    <n v="0"/>
    <n v="0"/>
    <n v="41"/>
    <n v="28"/>
    <n v="0"/>
    <n v="700.03"/>
    <n v="201.73"/>
    <m/>
    <n v="885.94738788086659"/>
    <n v="217.52949647748915"/>
    <n v="0"/>
    <n v="852.63653999999997"/>
    <n v="245.70713999999998"/>
    <n v="0"/>
    <n v="1079.0839184388956"/>
    <n v="264.95092670958178"/>
  </r>
  <r>
    <s v="Regular"/>
    <x v="1"/>
    <x v="1"/>
    <x v="3"/>
    <x v="5"/>
    <x v="0"/>
    <x v="0"/>
    <x v="1"/>
    <x v="3"/>
    <n v="0"/>
    <n v="0"/>
    <n v="1.37"/>
    <n v="1.37"/>
    <n v="1.37"/>
    <n v="1.37"/>
    <n v="11"/>
    <x v="0"/>
    <n v="0"/>
    <n v="0"/>
    <n v="41"/>
    <n v="28"/>
    <n v="0"/>
    <n v="700.03"/>
    <n v="201.73"/>
    <m/>
    <n v="885.94738788086659"/>
    <n v="217.52949647748915"/>
    <n v="0"/>
    <n v="959.04110000000003"/>
    <n v="276.37009999999998"/>
    <n v="0"/>
    <n v="1213.7479213967872"/>
    <n v="298.01541017416014"/>
  </r>
  <r>
    <s v="Regular"/>
    <x v="1"/>
    <x v="1"/>
    <x v="3"/>
    <x v="5"/>
    <x v="0"/>
    <x v="0"/>
    <x v="1"/>
    <x v="4"/>
    <n v="0"/>
    <n v="0"/>
    <n v="1.6919999999999999"/>
    <n v="1.6919999999999999"/>
    <n v="1.6919999999999999"/>
    <n v="1.6919999999999999"/>
    <n v="13"/>
    <x v="0"/>
    <n v="0"/>
    <n v="0"/>
    <n v="41"/>
    <n v="28"/>
    <n v="0"/>
    <n v="700.03"/>
    <n v="201.73"/>
    <m/>
    <n v="885.94738788086659"/>
    <n v="217.52949647748915"/>
    <n v="0"/>
    <n v="1184.4507599999999"/>
    <n v="341.32715999999999"/>
    <n v="0"/>
    <n v="1499.0229802944261"/>
    <n v="368.05990803991165"/>
  </r>
  <r>
    <s v="Regular"/>
    <x v="1"/>
    <x v="1"/>
    <x v="3"/>
    <x v="5"/>
    <x v="0"/>
    <x v="0"/>
    <x v="1"/>
    <x v="5"/>
    <n v="0"/>
    <n v="0"/>
    <n v="1.6379999999999999"/>
    <n v="1.6379999999999999"/>
    <n v="1.6379999999999999"/>
    <n v="1.6379999999999999"/>
    <n v="20"/>
    <x v="0"/>
    <n v="0"/>
    <n v="0"/>
    <n v="41"/>
    <n v="28"/>
    <n v="0"/>
    <n v="700.03"/>
    <n v="201.73"/>
    <m/>
    <n v="885.94738788086659"/>
    <n v="217.52949647748915"/>
    <n v="0"/>
    <n v="1146.64914"/>
    <n v="330.43373999999994"/>
    <n v="0"/>
    <n v="1451.1818213488593"/>
    <n v="356.31331523012722"/>
  </r>
  <r>
    <s v="Regular"/>
    <x v="1"/>
    <x v="1"/>
    <x v="3"/>
    <x v="5"/>
    <x v="0"/>
    <x v="0"/>
    <x v="1"/>
    <x v="6"/>
    <n v="0"/>
    <n v="0"/>
    <n v="1.7350000000000001"/>
    <n v="1.7350000000000001"/>
    <n v="1.7350000000000001"/>
    <n v="1.7350000000000001"/>
    <n v="16"/>
    <x v="0"/>
    <n v="0"/>
    <n v="0"/>
    <n v="41"/>
    <n v="28"/>
    <n v="0"/>
    <n v="700.03"/>
    <n v="201.73"/>
    <m/>
    <n v="885.94738788086659"/>
    <n v="217.52949647748915"/>
    <n v="0"/>
    <n v="1214.55205"/>
    <n v="350.00155000000001"/>
    <n v="0"/>
    <n v="1537.1187179733035"/>
    <n v="377.41367638844372"/>
  </r>
  <r>
    <s v="Regular"/>
    <x v="1"/>
    <x v="1"/>
    <x v="3"/>
    <x v="5"/>
    <x v="0"/>
    <x v="0"/>
    <x v="1"/>
    <x v="7"/>
    <n v="0"/>
    <n v="0"/>
    <n v="1.452"/>
    <n v="1.452"/>
    <n v="1.452"/>
    <n v="1.452"/>
    <n v="17"/>
    <x v="0"/>
    <n v="0"/>
    <n v="0"/>
    <n v="41"/>
    <n v="28"/>
    <n v="0"/>
    <n v="700.03"/>
    <n v="201.73"/>
    <m/>
    <n v="885.94738788086659"/>
    <n v="217.52949647748915"/>
    <n v="0"/>
    <n v="1016.4435599999999"/>
    <n v="292.91195999999997"/>
    <n v="0"/>
    <n v="1286.3956072030182"/>
    <n v="315.85282888531424"/>
  </r>
  <r>
    <s v="Regular"/>
    <x v="1"/>
    <x v="1"/>
    <x v="3"/>
    <x v="5"/>
    <x v="0"/>
    <x v="0"/>
    <x v="1"/>
    <x v="8"/>
    <n v="0"/>
    <n v="0"/>
    <n v="1.7949999999999999"/>
    <n v="1.7949999999999999"/>
    <n v="1.7949999999999999"/>
    <n v="1.7949999999999999"/>
    <n v="19"/>
    <x v="0"/>
    <n v="0"/>
    <n v="0"/>
    <n v="41"/>
    <n v="28"/>
    <n v="0"/>
    <n v="700.03"/>
    <n v="201.73"/>
    <m/>
    <n v="885.94738788086659"/>
    <n v="217.52949647748915"/>
    <n v="0"/>
    <n v="1256.55385"/>
    <n v="362.10534999999999"/>
    <n v="0"/>
    <n v="1590.2755612461553"/>
    <n v="390.46544617709299"/>
  </r>
  <r>
    <s v="Regular"/>
    <x v="1"/>
    <x v="1"/>
    <x v="3"/>
    <x v="5"/>
    <x v="0"/>
    <x v="0"/>
    <x v="1"/>
    <x v="9"/>
    <n v="0"/>
    <n v="0"/>
    <n v="2.1150000000000002"/>
    <n v="2.1150000000000002"/>
    <n v="2.1150000000000002"/>
    <n v="2.1150000000000002"/>
    <n v="18"/>
    <x v="0"/>
    <n v="0"/>
    <n v="0"/>
    <n v="41"/>
    <n v="28"/>
    <n v="0"/>
    <n v="700.03"/>
    <n v="201.73"/>
    <m/>
    <n v="885.94738788086659"/>
    <n v="217.52949647748915"/>
    <n v="0"/>
    <n v="1480.5634500000001"/>
    <n v="426.65895"/>
    <n v="0"/>
    <n v="1873.7787253680331"/>
    <n v="460.07488504988959"/>
  </r>
  <r>
    <s v="Regular"/>
    <x v="1"/>
    <x v="1"/>
    <x v="3"/>
    <x v="5"/>
    <x v="0"/>
    <x v="0"/>
    <x v="1"/>
    <x v="10"/>
    <n v="0"/>
    <n v="0"/>
    <n v="2.5640000000000001"/>
    <n v="2.5640000000000001"/>
    <n v="2.5640000000000001"/>
    <n v="2.5640000000000001"/>
    <n v="26"/>
    <x v="0"/>
    <n v="0"/>
    <n v="0"/>
    <n v="41"/>
    <n v="28"/>
    <n v="0"/>
    <n v="700.03"/>
    <n v="201.73"/>
    <m/>
    <n v="885.94738788086659"/>
    <n v="217.52949647748915"/>
    <n v="0"/>
    <n v="1794.8769199999999"/>
    <n v="517.23572000000001"/>
    <n v="0"/>
    <n v="2271.5691025265419"/>
    <n v="557.74562896828218"/>
  </r>
  <r>
    <s v="Regular"/>
    <x v="1"/>
    <x v="1"/>
    <x v="3"/>
    <x v="5"/>
    <x v="0"/>
    <x v="0"/>
    <x v="1"/>
    <x v="11"/>
    <n v="0"/>
    <n v="0"/>
    <n v="4.2779999999999996"/>
    <n v="4.2779999999999996"/>
    <n v="4.2779999999999996"/>
    <n v="4.2779999999999996"/>
    <n v="45"/>
    <x v="0"/>
    <n v="0"/>
    <n v="0"/>
    <n v="41"/>
    <n v="28"/>
    <n v="0"/>
    <n v="700.03"/>
    <n v="201.73"/>
    <m/>
    <n v="885.94738788086659"/>
    <n v="217.52949647748915"/>
    <n v="0"/>
    <n v="2994.7283399999997"/>
    <n v="863.0009399999999"/>
    <n v="0"/>
    <n v="3790.082925354347"/>
    <n v="930.59118593069843"/>
  </r>
  <r>
    <s v="Regular"/>
    <x v="2"/>
    <x v="1"/>
    <x v="2"/>
    <x v="6"/>
    <x v="1"/>
    <x v="0"/>
    <x v="1"/>
    <x v="0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1"/>
    <n v="0"/>
    <n v="0"/>
    <n v="0.06"/>
    <n v="0.06"/>
    <n v="0.06"/>
    <n v="0.06"/>
    <n v="0"/>
    <x v="0"/>
    <n v="0"/>
    <n v="0"/>
    <n v="74"/>
    <n v="21"/>
    <n v="0"/>
    <n v="724.89"/>
    <n v="177.53"/>
    <m/>
    <n v="903.99555553454752"/>
    <n v="191.42595690019044"/>
    <n v="0"/>
    <n v="43.493399999999994"/>
    <n v="10.6518"/>
    <n v="0"/>
    <n v="54.239733332072852"/>
    <n v="11.485557414011426"/>
  </r>
  <r>
    <s v="Regular"/>
    <x v="2"/>
    <x v="1"/>
    <x v="2"/>
    <x v="6"/>
    <x v="1"/>
    <x v="0"/>
    <x v="1"/>
    <x v="2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3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4"/>
    <n v="0"/>
    <n v="0"/>
    <n v="0.17299999999999999"/>
    <n v="0.17299999999999999"/>
    <n v="0.17299999999999999"/>
    <n v="0.17299999999999999"/>
    <n v="0"/>
    <x v="0"/>
    <n v="0"/>
    <n v="0"/>
    <n v="74"/>
    <n v="21"/>
    <n v="0"/>
    <n v="724.89"/>
    <n v="177.53"/>
    <m/>
    <n v="903.99555553454752"/>
    <n v="191.42595690019044"/>
    <n v="0"/>
    <n v="125.40596999999998"/>
    <n v="30.712689999999998"/>
    <n v="0"/>
    <n v="156.3912311074767"/>
    <n v="33.116690543732943"/>
  </r>
  <r>
    <s v="Regular"/>
    <x v="2"/>
    <x v="1"/>
    <x v="2"/>
    <x v="6"/>
    <x v="1"/>
    <x v="0"/>
    <x v="1"/>
    <x v="5"/>
    <n v="0"/>
    <n v="0"/>
    <n v="0.127"/>
    <n v="0.127"/>
    <n v="0.127"/>
    <n v="0.127"/>
    <n v="0"/>
    <x v="0"/>
    <n v="0"/>
    <n v="0"/>
    <n v="74"/>
    <n v="21"/>
    <n v="0"/>
    <n v="724.89"/>
    <n v="177.53"/>
    <m/>
    <n v="903.99555553454752"/>
    <n v="191.42595690019044"/>
    <n v="0"/>
    <n v="92.061030000000002"/>
    <n v="22.546310000000002"/>
    <n v="0"/>
    <n v="114.80743555288754"/>
    <n v="24.311096526324185"/>
  </r>
  <r>
    <s v="Regular"/>
    <x v="2"/>
    <x v="1"/>
    <x v="2"/>
    <x v="6"/>
    <x v="1"/>
    <x v="0"/>
    <x v="1"/>
    <x v="6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7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8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9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10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6"/>
    <x v="1"/>
    <x v="0"/>
    <x v="1"/>
    <x v="11"/>
    <n v="0"/>
    <n v="0"/>
    <n v="0.05"/>
    <n v="0.05"/>
    <n v="0.05"/>
    <n v="0.05"/>
    <n v="0"/>
    <x v="0"/>
    <n v="0"/>
    <n v="0"/>
    <n v="74"/>
    <n v="21"/>
    <n v="0"/>
    <n v="724.89"/>
    <n v="177.53"/>
    <m/>
    <n v="903.99555553454752"/>
    <n v="191.42595690019044"/>
    <n v="0"/>
    <n v="36.244500000000002"/>
    <n v="8.8765000000000001"/>
    <n v="0"/>
    <n v="45.19977777672738"/>
    <n v="9.5712978450095232"/>
  </r>
  <r>
    <s v="Regular"/>
    <x v="2"/>
    <x v="1"/>
    <x v="2"/>
    <x v="0"/>
    <x v="0"/>
    <x v="0"/>
    <x v="1"/>
    <x v="0"/>
    <n v="0"/>
    <n v="0"/>
    <n v="127.32299999999999"/>
    <n v="127.32299999999999"/>
    <n v="127.32299999999999"/>
    <n v="127.32299999999999"/>
    <n v="263"/>
    <x v="0"/>
    <n v="0"/>
    <n v="0"/>
    <n v="74"/>
    <n v="21"/>
    <n v="0"/>
    <n v="724.89"/>
    <n v="177.53"/>
    <m/>
    <n v="903.99555553454752"/>
    <n v="191.42595690019044"/>
    <n v="0"/>
    <n v="92295.169469999993"/>
    <n v="22603.652190000001"/>
    <n v="0"/>
    <n v="115099.42611732519"/>
    <n v="24372.927110402947"/>
  </r>
  <r>
    <s v="Refaturamento - Regular"/>
    <x v="2"/>
    <x v="1"/>
    <x v="2"/>
    <x v="0"/>
    <x v="0"/>
    <x v="0"/>
    <x v="1"/>
    <x v="0"/>
    <n v="0"/>
    <n v="0"/>
    <n v="-0.97699999999999998"/>
    <n v="-0.97699999999999998"/>
    <n v="-0.97699999999999998"/>
    <n v="-0.97699999999999998"/>
    <n v="0"/>
    <x v="0"/>
    <n v="0"/>
    <n v="0"/>
    <n v="74"/>
    <n v="21"/>
    <n v="0"/>
    <n v="724.89"/>
    <n v="177.53"/>
    <m/>
    <n v="903.99555553454752"/>
    <n v="191.42595690019044"/>
    <n v="0"/>
    <n v="-708.21753000000001"/>
    <n v="-173.44681"/>
    <n v="0"/>
    <n v="-883.20365775725293"/>
    <n v="-187.02315989148605"/>
  </r>
  <r>
    <s v="Regular"/>
    <x v="2"/>
    <x v="1"/>
    <x v="2"/>
    <x v="0"/>
    <x v="0"/>
    <x v="0"/>
    <x v="1"/>
    <x v="1"/>
    <n v="0"/>
    <n v="0"/>
    <n v="124.43600000000001"/>
    <n v="124.43600000000001"/>
    <n v="124.43600000000001"/>
    <n v="124.43600000000001"/>
    <n v="262"/>
    <x v="0"/>
    <n v="0"/>
    <n v="0"/>
    <n v="74"/>
    <n v="21"/>
    <n v="0"/>
    <n v="724.89"/>
    <n v="177.53"/>
    <m/>
    <n v="903.99555553454752"/>
    <n v="191.42595690019044"/>
    <n v="0"/>
    <n v="90202.41204000001"/>
    <n v="22091.123080000001"/>
    <n v="0"/>
    <n v="112489.59094849696"/>
    <n v="23820.280372832098"/>
  </r>
  <r>
    <s v="Refaturamento - Regular"/>
    <x v="2"/>
    <x v="1"/>
    <x v="2"/>
    <x v="0"/>
    <x v="0"/>
    <x v="0"/>
    <x v="1"/>
    <x v="1"/>
    <n v="0"/>
    <n v="0"/>
    <n v="-7.9000000000000001E-2"/>
    <n v="-7.9000000000000001E-2"/>
    <n v="-7.9000000000000001E-2"/>
    <n v="-7.9000000000000001E-2"/>
    <n v="0"/>
    <x v="0"/>
    <n v="0"/>
    <n v="0"/>
    <n v="74"/>
    <n v="21"/>
    <n v="0"/>
    <n v="724.89"/>
    <n v="177.53"/>
    <m/>
    <n v="903.99555553454752"/>
    <n v="191.42595690019044"/>
    <n v="0"/>
    <n v="-57.266309999999997"/>
    <n v="-14.02487"/>
    <n v="0"/>
    <n v="-71.415648887229253"/>
    <n v="-15.122650595115045"/>
  </r>
  <r>
    <s v="Regular"/>
    <x v="2"/>
    <x v="1"/>
    <x v="2"/>
    <x v="0"/>
    <x v="0"/>
    <x v="0"/>
    <x v="1"/>
    <x v="2"/>
    <n v="0"/>
    <n v="0"/>
    <n v="129.67699999999999"/>
    <n v="129.67699999999999"/>
    <n v="129.67699999999999"/>
    <n v="129.67699999999999"/>
    <n v="261"/>
    <x v="0"/>
    <n v="0"/>
    <n v="0"/>
    <n v="74"/>
    <n v="21"/>
    <n v="0"/>
    <n v="724.89"/>
    <n v="177.53"/>
    <m/>
    <n v="903.99555553454752"/>
    <n v="191.42595690019044"/>
    <n v="0"/>
    <n v="94001.560529999988"/>
    <n v="23021.557809999998"/>
    <n v="0"/>
    <n v="117227.43165505351"/>
    <n v="24823.543812945994"/>
  </r>
  <r>
    <s v="Refaturamento - Regular"/>
    <x v="2"/>
    <x v="1"/>
    <x v="2"/>
    <x v="0"/>
    <x v="0"/>
    <x v="0"/>
    <x v="1"/>
    <x v="2"/>
    <n v="0"/>
    <n v="0"/>
    <n v="-0.24099999999999999"/>
    <n v="-0.24099999999999999"/>
    <n v="-0.24099999999999999"/>
    <n v="-0.24099999999999999"/>
    <n v="0"/>
    <x v="0"/>
    <n v="0"/>
    <n v="0"/>
    <n v="74"/>
    <n v="21"/>
    <n v="0"/>
    <n v="724.89"/>
    <n v="177.53"/>
    <m/>
    <n v="903.99555553454752"/>
    <n v="191.42595690019044"/>
    <n v="0"/>
    <n v="-174.69848999999999"/>
    <n v="-42.784729999999996"/>
    <n v="0"/>
    <n v="-217.86292888382596"/>
    <n v="-46.133655612945894"/>
  </r>
  <r>
    <s v="Regular"/>
    <x v="2"/>
    <x v="1"/>
    <x v="2"/>
    <x v="0"/>
    <x v="0"/>
    <x v="0"/>
    <x v="1"/>
    <x v="3"/>
    <n v="0"/>
    <n v="0"/>
    <n v="118.70099999999999"/>
    <n v="118.70099999999999"/>
    <n v="118.70099999999999"/>
    <n v="118.70099999999999"/>
    <n v="261"/>
    <x v="0"/>
    <n v="0"/>
    <n v="0"/>
    <n v="74"/>
    <n v="21"/>
    <n v="0"/>
    <n v="724.89"/>
    <n v="177.53"/>
    <m/>
    <n v="903.99555553454752"/>
    <n v="191.42595690019044"/>
    <n v="0"/>
    <n v="86045.167889999997"/>
    <n v="21072.988529999999"/>
    <n v="0"/>
    <n v="107305.17643750632"/>
    <n v="22722.452510009505"/>
  </r>
  <r>
    <s v="Refaturamento - Regular"/>
    <x v="2"/>
    <x v="1"/>
    <x v="2"/>
    <x v="0"/>
    <x v="0"/>
    <x v="0"/>
    <x v="1"/>
    <x v="3"/>
    <n v="0"/>
    <n v="0"/>
    <n v="-0.22700000000000001"/>
    <n v="-0.22700000000000001"/>
    <n v="-0.22700000000000001"/>
    <n v="-0.22700000000000001"/>
    <n v="0"/>
    <x v="0"/>
    <n v="0"/>
    <n v="0"/>
    <n v="74"/>
    <n v="21"/>
    <n v="0"/>
    <n v="724.89"/>
    <n v="177.53"/>
    <m/>
    <n v="903.99555553454752"/>
    <n v="191.42595690019044"/>
    <n v="0"/>
    <n v="-164.55002999999999"/>
    <n v="-40.299309999999998"/>
    <n v="0"/>
    <n v="-205.20699110634229"/>
    <n v="-43.453692216343235"/>
  </r>
  <r>
    <s v="Regular"/>
    <x v="2"/>
    <x v="1"/>
    <x v="2"/>
    <x v="0"/>
    <x v="0"/>
    <x v="0"/>
    <x v="1"/>
    <x v="4"/>
    <n v="0"/>
    <n v="0"/>
    <n v="122.214"/>
    <n v="122.214"/>
    <n v="122.214"/>
    <n v="122.214"/>
    <n v="261"/>
    <x v="0"/>
    <n v="0"/>
    <n v="0"/>
    <n v="74"/>
    <n v="21"/>
    <n v="0"/>
    <n v="724.89"/>
    <n v="177.53"/>
    <m/>
    <n v="903.99555553454752"/>
    <n v="191.42595690019044"/>
    <n v="0"/>
    <n v="88591.706460000001"/>
    <n v="21696.651419999998"/>
    <n v="0"/>
    <n v="110480.91282409918"/>
    <n v="23394.931896599875"/>
  </r>
  <r>
    <s v="Regular"/>
    <x v="2"/>
    <x v="1"/>
    <x v="2"/>
    <x v="0"/>
    <x v="0"/>
    <x v="0"/>
    <x v="1"/>
    <x v="5"/>
    <n v="0"/>
    <n v="0"/>
    <n v="131.24199999999999"/>
    <n v="131.24199999999999"/>
    <n v="131.24199999999999"/>
    <n v="131.24199999999999"/>
    <n v="261"/>
    <x v="0"/>
    <n v="0"/>
    <n v="0"/>
    <n v="74"/>
    <n v="21"/>
    <n v="0"/>
    <n v="724.89"/>
    <n v="177.53"/>
    <m/>
    <n v="903.99555553454752"/>
    <n v="191.42595690019044"/>
    <n v="0"/>
    <n v="95136.013379999989"/>
    <n v="23299.392259999997"/>
    <n v="0"/>
    <n v="118642.18469946507"/>
    <n v="25123.125435494792"/>
  </r>
  <r>
    <s v="Regular"/>
    <x v="2"/>
    <x v="1"/>
    <x v="2"/>
    <x v="0"/>
    <x v="0"/>
    <x v="0"/>
    <x v="1"/>
    <x v="6"/>
    <n v="0"/>
    <n v="0"/>
    <n v="116.65600000000001"/>
    <n v="116.65600000000001"/>
    <n v="116.65600000000001"/>
    <n v="116.65600000000001"/>
    <n v="256"/>
    <x v="0"/>
    <n v="0"/>
    <n v="0"/>
    <n v="74"/>
    <n v="21"/>
    <n v="0"/>
    <n v="724.89"/>
    <n v="177.53"/>
    <m/>
    <n v="903.99555553454752"/>
    <n v="191.42595690019044"/>
    <n v="0"/>
    <n v="84562.76784"/>
    <n v="20709.939679999999"/>
    <n v="0"/>
    <n v="105456.50552643818"/>
    <n v="22330.986428148619"/>
  </r>
  <r>
    <s v="Sistema de Compensação"/>
    <x v="2"/>
    <x v="1"/>
    <x v="2"/>
    <x v="0"/>
    <x v="0"/>
    <x v="0"/>
    <x v="1"/>
    <x v="6"/>
    <n v="0"/>
    <n v="0"/>
    <n v="1.3080000000000001"/>
    <n v="1.3080000000000001"/>
    <n v="1.3080000000000001"/>
    <n v="1.3080000000000001"/>
    <n v="1"/>
    <x v="0"/>
    <n v="0"/>
    <n v="0"/>
    <n v="74"/>
    <n v="21"/>
    <n v="0"/>
    <n v="724.89"/>
    <n v="177.53"/>
    <m/>
    <n v="903.99555553454752"/>
    <n v="191.42595690019044"/>
    <n v="0"/>
    <n v="948.15611999999999"/>
    <n v="232.20924000000002"/>
    <n v="0"/>
    <n v="1182.4261866391882"/>
    <n v="250.38515162544911"/>
  </r>
  <r>
    <s v="Regular"/>
    <x v="2"/>
    <x v="1"/>
    <x v="2"/>
    <x v="0"/>
    <x v="0"/>
    <x v="0"/>
    <x v="1"/>
    <x v="7"/>
    <n v="0"/>
    <n v="0"/>
    <n v="125.11799999999999"/>
    <n v="125.11799999999999"/>
    <n v="125.11799999999999"/>
    <n v="125.11799999999999"/>
    <n v="256"/>
    <x v="0"/>
    <n v="0"/>
    <n v="0"/>
    <n v="74"/>
    <n v="21"/>
    <n v="0"/>
    <n v="724.89"/>
    <n v="177.53"/>
    <m/>
    <n v="903.99555553454752"/>
    <n v="191.42595690019044"/>
    <n v="0"/>
    <n v="90696.787019999989"/>
    <n v="22212.198539999998"/>
    <n v="0"/>
    <n v="113106.11591737151"/>
    <n v="23950.832875438027"/>
  </r>
  <r>
    <s v="Refaturamento - Regular"/>
    <x v="2"/>
    <x v="1"/>
    <x v="2"/>
    <x v="0"/>
    <x v="0"/>
    <x v="0"/>
    <x v="1"/>
    <x v="7"/>
    <n v="0"/>
    <n v="0"/>
    <n v="-0.80100000000000005"/>
    <n v="-0.80100000000000005"/>
    <n v="-0.80100000000000005"/>
    <n v="-0.80100000000000005"/>
    <n v="0"/>
    <x v="0"/>
    <n v="0"/>
    <n v="0"/>
    <n v="74"/>
    <n v="21"/>
    <n v="0"/>
    <n v="724.89"/>
    <n v="177.53"/>
    <m/>
    <n v="903.99555553454752"/>
    <n v="191.42595690019044"/>
    <n v="0"/>
    <n v="-580.63688999999999"/>
    <n v="-142.20153000000002"/>
    <n v="0"/>
    <n v="-724.10043998317258"/>
    <n v="-153.33219147705256"/>
  </r>
  <r>
    <s v="Sistema de Compensação"/>
    <x v="2"/>
    <x v="1"/>
    <x v="2"/>
    <x v="0"/>
    <x v="0"/>
    <x v="0"/>
    <x v="1"/>
    <x v="7"/>
    <n v="0"/>
    <n v="0"/>
    <n v="0.88"/>
    <n v="0.88"/>
    <n v="0.88"/>
    <n v="0.88"/>
    <n v="1"/>
    <x v="0"/>
    <n v="0"/>
    <n v="0"/>
    <n v="74"/>
    <n v="21"/>
    <n v="0"/>
    <n v="724.89"/>
    <n v="177.53"/>
    <m/>
    <n v="903.99555553454752"/>
    <n v="191.42595690019044"/>
    <n v="0"/>
    <n v="637.90319999999997"/>
    <n v="156.22640000000001"/>
    <n v="0"/>
    <n v="795.51608887040186"/>
    <n v="168.45484207216759"/>
  </r>
  <r>
    <s v="Regular"/>
    <x v="2"/>
    <x v="1"/>
    <x v="2"/>
    <x v="0"/>
    <x v="0"/>
    <x v="0"/>
    <x v="1"/>
    <x v="8"/>
    <n v="0"/>
    <n v="0"/>
    <n v="129.33799999999999"/>
    <n v="129.33799999999999"/>
    <n v="129.33799999999999"/>
    <n v="129.33799999999999"/>
    <n v="253"/>
    <x v="0"/>
    <n v="0"/>
    <n v="0"/>
    <n v="74"/>
    <n v="21"/>
    <n v="0"/>
    <n v="724.89"/>
    <n v="177.53"/>
    <m/>
    <n v="903.99555553454752"/>
    <n v="191.42595690019044"/>
    <n v="0"/>
    <n v="93755.822819999987"/>
    <n v="22961.37514"/>
    <n v="0"/>
    <n v="116920.97716172731"/>
    <n v="24758.650413556832"/>
  </r>
  <r>
    <s v="Sistema de Compensação"/>
    <x v="2"/>
    <x v="1"/>
    <x v="2"/>
    <x v="0"/>
    <x v="0"/>
    <x v="0"/>
    <x v="1"/>
    <x v="8"/>
    <n v="0"/>
    <n v="0"/>
    <n v="0.79500000000000004"/>
    <n v="0.79500000000000004"/>
    <n v="0.79500000000000004"/>
    <n v="0.79500000000000004"/>
    <n v="1"/>
    <x v="0"/>
    <n v="0"/>
    <n v="0"/>
    <n v="74"/>
    <n v="21"/>
    <n v="0"/>
    <n v="724.89"/>
    <n v="177.53"/>
    <m/>
    <n v="903.99555553454752"/>
    <n v="191.42595690019044"/>
    <n v="0"/>
    <n v="576.28755000000001"/>
    <n v="141.13635000000002"/>
    <n v="0"/>
    <n v="718.67646664996528"/>
    <n v="152.18363573565142"/>
  </r>
  <r>
    <s v="Regular"/>
    <x v="2"/>
    <x v="1"/>
    <x v="2"/>
    <x v="0"/>
    <x v="0"/>
    <x v="0"/>
    <x v="1"/>
    <x v="9"/>
    <n v="0"/>
    <n v="0"/>
    <n v="132.16300000000001"/>
    <n v="132.16300000000001"/>
    <n v="132.16300000000001"/>
    <n v="132.16300000000001"/>
    <n v="248"/>
    <x v="0"/>
    <n v="0"/>
    <n v="0"/>
    <n v="74"/>
    <n v="21"/>
    <n v="0"/>
    <n v="724.89"/>
    <n v="177.53"/>
    <m/>
    <n v="903.99555553454752"/>
    <n v="191.42595690019044"/>
    <n v="0"/>
    <n v="95803.637070000012"/>
    <n v="23462.897390000002"/>
    <n v="0"/>
    <n v="119474.76460611241"/>
    <n v="25299.428741799871"/>
  </r>
  <r>
    <s v="Sistema de Compensação"/>
    <x v="2"/>
    <x v="1"/>
    <x v="2"/>
    <x v="0"/>
    <x v="0"/>
    <x v="0"/>
    <x v="1"/>
    <x v="9"/>
    <n v="0"/>
    <n v="0"/>
    <n v="1.927"/>
    <n v="1.927"/>
    <n v="1.927"/>
    <n v="1.927"/>
    <n v="2"/>
    <x v="0"/>
    <n v="0"/>
    <n v="0"/>
    <n v="74"/>
    <n v="21"/>
    <n v="0"/>
    <n v="724.89"/>
    <n v="177.53"/>
    <m/>
    <n v="903.99555553454752"/>
    <n v="191.42595690019044"/>
    <n v="0"/>
    <n v="1396.86303"/>
    <n v="342.10031000000004"/>
    <n v="0"/>
    <n v="1741.9994355150732"/>
    <n v="368.87781894666699"/>
  </r>
  <r>
    <s v="Regular"/>
    <x v="2"/>
    <x v="1"/>
    <x v="2"/>
    <x v="0"/>
    <x v="0"/>
    <x v="0"/>
    <x v="1"/>
    <x v="10"/>
    <n v="0"/>
    <n v="0"/>
    <n v="131.50399999999999"/>
    <n v="131.50399999999999"/>
    <n v="131.50399999999999"/>
    <n v="131.50399999999999"/>
    <n v="247"/>
    <x v="0"/>
    <n v="0"/>
    <n v="0"/>
    <n v="74"/>
    <n v="21"/>
    <n v="0"/>
    <n v="724.89"/>
    <n v="177.53"/>
    <m/>
    <n v="903.99555553454752"/>
    <n v="191.42595690019044"/>
    <n v="0"/>
    <n v="95325.934559999994"/>
    <n v="23345.905119999999"/>
    <n v="0"/>
    <n v="118879.03153501514"/>
    <n v="25173.279036202643"/>
  </r>
  <r>
    <s v="Sistema de Compensação"/>
    <x v="2"/>
    <x v="1"/>
    <x v="2"/>
    <x v="0"/>
    <x v="0"/>
    <x v="0"/>
    <x v="1"/>
    <x v="10"/>
    <n v="0"/>
    <n v="0"/>
    <n v="0.316"/>
    <n v="0.316"/>
    <n v="0.316"/>
    <n v="0.316"/>
    <n v="2"/>
    <x v="0"/>
    <n v="0"/>
    <n v="0"/>
    <n v="74"/>
    <n v="21"/>
    <n v="0"/>
    <n v="724.89"/>
    <n v="177.53"/>
    <m/>
    <n v="903.99555553454752"/>
    <n v="191.42595690019044"/>
    <n v="0"/>
    <n v="229.06523999999999"/>
    <n v="56.09948"/>
    <n v="0"/>
    <n v="285.66259554891701"/>
    <n v="60.490602380460182"/>
  </r>
  <r>
    <s v="Regular"/>
    <x v="2"/>
    <x v="1"/>
    <x v="2"/>
    <x v="0"/>
    <x v="0"/>
    <x v="0"/>
    <x v="1"/>
    <x v="11"/>
    <n v="0"/>
    <n v="0"/>
    <n v="122.595"/>
    <n v="122.595"/>
    <n v="122.595"/>
    <n v="122.595"/>
    <n v="246"/>
    <x v="0"/>
    <n v="0"/>
    <n v="0"/>
    <n v="74"/>
    <n v="21"/>
    <n v="0"/>
    <n v="724.89"/>
    <n v="177.53"/>
    <m/>
    <n v="903.99555553454752"/>
    <n v="191.42595690019044"/>
    <n v="0"/>
    <n v="88867.889549999993"/>
    <n v="21764.290349999999"/>
    <n v="0"/>
    <n v="110825.33513075786"/>
    <n v="23467.865186178846"/>
  </r>
  <r>
    <s v="Sistema de Compensação"/>
    <x v="2"/>
    <x v="1"/>
    <x v="2"/>
    <x v="0"/>
    <x v="0"/>
    <x v="0"/>
    <x v="1"/>
    <x v="11"/>
    <n v="0"/>
    <n v="0"/>
    <n v="1.458"/>
    <n v="1.458"/>
    <n v="1.458"/>
    <n v="1.458"/>
    <n v="3"/>
    <x v="0"/>
    <n v="0"/>
    <n v="0"/>
    <n v="74"/>
    <n v="21"/>
    <n v="0"/>
    <n v="724.89"/>
    <n v="177.53"/>
    <m/>
    <n v="903.99555553454752"/>
    <n v="191.42595690019044"/>
    <n v="0"/>
    <n v="1056.8896199999999"/>
    <n v="258.83873999999997"/>
    <n v="0"/>
    <n v="1318.0255199693702"/>
    <n v="279.09904516047766"/>
  </r>
  <r>
    <s v="Regular"/>
    <x v="3"/>
    <x v="1"/>
    <x v="0"/>
    <x v="0"/>
    <x v="0"/>
    <x v="0"/>
    <x v="1"/>
    <x v="0"/>
    <n v="0"/>
    <n v="0"/>
    <n v="463.14699999999999"/>
    <n v="463.14699999999999"/>
    <n v="463.14699999999999"/>
    <n v="463.14699999999999"/>
    <n v="603"/>
    <x v="0"/>
    <n v="0"/>
    <n v="0"/>
    <n v="55"/>
    <n v="6"/>
    <n v="0"/>
    <n v="823.74"/>
    <n v="201.73"/>
    <m/>
    <n v="1027.267676743804"/>
    <n v="217.52949647748915"/>
    <n v="0"/>
    <n v="381512.70977999998"/>
    <n v="93430.644309999989"/>
    <n v="0"/>
    <n v="475775.94268086262"/>
    <n v="100748.13370505966"/>
  </r>
  <r>
    <s v="Refaturamento - Regular"/>
    <x v="3"/>
    <x v="1"/>
    <x v="0"/>
    <x v="0"/>
    <x v="0"/>
    <x v="0"/>
    <x v="1"/>
    <x v="0"/>
    <n v="0"/>
    <n v="0"/>
    <n v="-2.343"/>
    <n v="-2.343"/>
    <n v="-2.343"/>
    <n v="-2.343"/>
    <n v="0"/>
    <x v="0"/>
    <n v="0"/>
    <n v="0"/>
    <n v="55"/>
    <n v="6"/>
    <n v="0"/>
    <n v="823.74"/>
    <n v="201.73"/>
    <m/>
    <n v="1027.267676743804"/>
    <n v="217.52949647748915"/>
    <n v="0"/>
    <n v="-1930.0228199999999"/>
    <n v="-472.65338999999994"/>
    <n v="0"/>
    <n v="-2406.8881666107327"/>
    <n v="-509.67161024675704"/>
  </r>
  <r>
    <s v="Sistema de Compensação"/>
    <x v="3"/>
    <x v="1"/>
    <x v="0"/>
    <x v="0"/>
    <x v="0"/>
    <x v="0"/>
    <x v="1"/>
    <x v="0"/>
    <n v="0"/>
    <n v="0"/>
    <n v="0.14899999999999999"/>
    <n v="0.14899999999999999"/>
    <n v="0.14899999999999999"/>
    <n v="0.14899999999999999"/>
    <n v="1"/>
    <x v="0"/>
    <n v="0"/>
    <n v="0"/>
    <n v="55"/>
    <n v="6"/>
    <n v="0"/>
    <n v="823.74"/>
    <n v="201.73"/>
    <m/>
    <n v="1027.267676743804"/>
    <n v="217.52949647748915"/>
    <n v="0"/>
    <n v="122.73725999999999"/>
    <n v="30.057769999999998"/>
    <n v="0"/>
    <n v="153.06288383482681"/>
    <n v="32.411894975145884"/>
  </r>
  <r>
    <s v="Regular"/>
    <x v="3"/>
    <x v="1"/>
    <x v="0"/>
    <x v="0"/>
    <x v="0"/>
    <x v="0"/>
    <x v="1"/>
    <x v="1"/>
    <n v="0"/>
    <n v="0"/>
    <n v="437.63799999999998"/>
    <n v="437.63799999999998"/>
    <n v="437.63799999999998"/>
    <n v="437.63799999999998"/>
    <n v="594"/>
    <x v="0"/>
    <n v="0"/>
    <n v="0"/>
    <n v="55"/>
    <n v="6"/>
    <n v="0"/>
    <n v="823.74"/>
    <n v="201.73"/>
    <m/>
    <n v="1027.267676743804"/>
    <n v="217.52949647748915"/>
    <n v="0"/>
    <n v="360499.92611999996"/>
    <n v="88284.713739999992"/>
    <n v="0"/>
    <n v="449571.37151480489"/>
    <n v="95199.173779415389"/>
  </r>
  <r>
    <s v="Refaturamento - Regular"/>
    <x v="3"/>
    <x v="1"/>
    <x v="0"/>
    <x v="0"/>
    <x v="0"/>
    <x v="0"/>
    <x v="1"/>
    <x v="1"/>
    <n v="0"/>
    <n v="0"/>
    <n v="-9.9450000000000003"/>
    <n v="-9.9450000000000003"/>
    <n v="-9.9450000000000003"/>
    <n v="-9.9450000000000003"/>
    <n v="0"/>
    <x v="0"/>
    <n v="0"/>
    <n v="0"/>
    <n v="55"/>
    <n v="6"/>
    <n v="0"/>
    <n v="823.74"/>
    <n v="201.73"/>
    <m/>
    <n v="1027.267676743804"/>
    <n v="217.52949647748915"/>
    <n v="0"/>
    <n v="-8192.0943000000007"/>
    <n v="-2006.2048499999999"/>
    <n v="0"/>
    <n v="-10216.177045217131"/>
    <n v="-2163.3308424686297"/>
  </r>
  <r>
    <s v="Sistema de Compensação"/>
    <x v="3"/>
    <x v="1"/>
    <x v="0"/>
    <x v="0"/>
    <x v="0"/>
    <x v="0"/>
    <x v="1"/>
    <x v="1"/>
    <n v="0"/>
    <n v="0"/>
    <n v="1.9239999999999999"/>
    <n v="1.9239999999999999"/>
    <n v="1.9239999999999999"/>
    <n v="1.9239999999999999"/>
    <n v="2"/>
    <x v="0"/>
    <n v="0"/>
    <n v="0"/>
    <n v="55"/>
    <n v="6"/>
    <n v="0"/>
    <n v="823.74"/>
    <n v="201.73"/>
    <m/>
    <n v="1027.267676743804"/>
    <n v="217.52949647748915"/>
    <n v="0"/>
    <n v="1584.8757599999999"/>
    <n v="388.12851999999998"/>
    <n v="0"/>
    <n v="1976.4630100550789"/>
    <n v="418.52675122268909"/>
  </r>
  <r>
    <s v="Regular"/>
    <x v="3"/>
    <x v="1"/>
    <x v="0"/>
    <x v="0"/>
    <x v="0"/>
    <x v="0"/>
    <x v="1"/>
    <x v="2"/>
    <n v="0"/>
    <n v="0"/>
    <n v="447.267"/>
    <n v="447.267"/>
    <n v="447.267"/>
    <n v="447.267"/>
    <n v="593"/>
    <x v="0"/>
    <n v="0"/>
    <n v="0"/>
    <n v="55"/>
    <n v="6"/>
    <n v="0"/>
    <n v="823.74"/>
    <n v="201.73"/>
    <m/>
    <n v="1027.267676743804"/>
    <n v="217.52949647748915"/>
    <n v="0"/>
    <n v="368431.71857999999"/>
    <n v="90227.17190999999"/>
    <n v="0"/>
    <n v="459462.93197417102"/>
    <n v="97293.76530099714"/>
  </r>
  <r>
    <s v="Sistema de Compensação"/>
    <x v="3"/>
    <x v="1"/>
    <x v="0"/>
    <x v="0"/>
    <x v="0"/>
    <x v="0"/>
    <x v="1"/>
    <x v="2"/>
    <n v="0"/>
    <n v="0"/>
    <n v="4.5640000000000001"/>
    <n v="4.5640000000000001"/>
    <n v="4.5640000000000001"/>
    <n v="4.5640000000000001"/>
    <n v="3"/>
    <x v="0"/>
    <n v="0"/>
    <n v="0"/>
    <n v="55"/>
    <n v="6"/>
    <n v="0"/>
    <n v="823.74"/>
    <n v="201.73"/>
    <m/>
    <n v="1027.267676743804"/>
    <n v="217.52949647748915"/>
    <n v="0"/>
    <n v="3759.54936"/>
    <n v="920.69571999999994"/>
    <n v="0"/>
    <n v="4688.4496766587217"/>
    <n v="992.80462192326047"/>
  </r>
  <r>
    <s v="Regular"/>
    <x v="3"/>
    <x v="1"/>
    <x v="0"/>
    <x v="0"/>
    <x v="0"/>
    <x v="0"/>
    <x v="1"/>
    <x v="3"/>
    <n v="0"/>
    <n v="0"/>
    <n v="418.59500000000003"/>
    <n v="418.59500000000003"/>
    <n v="418.59500000000003"/>
    <n v="418.59500000000003"/>
    <n v="595"/>
    <x v="0"/>
    <n v="0"/>
    <n v="0"/>
    <n v="55"/>
    <n v="6"/>
    <n v="0"/>
    <n v="823.74"/>
    <n v="201.73"/>
    <m/>
    <n v="1027.267676743804"/>
    <n v="217.52949647748915"/>
    <n v="0"/>
    <n v="344813.44530000002"/>
    <n v="84443.169349999996"/>
    <n v="0"/>
    <n v="430009.11314657266"/>
    <n v="91056.75957799457"/>
  </r>
  <r>
    <s v="Sistema de Compensação"/>
    <x v="3"/>
    <x v="1"/>
    <x v="0"/>
    <x v="0"/>
    <x v="0"/>
    <x v="0"/>
    <x v="1"/>
    <x v="3"/>
    <n v="0"/>
    <n v="0"/>
    <n v="2.0670000000000002"/>
    <n v="2.0670000000000002"/>
    <n v="2.0670000000000002"/>
    <n v="2.0670000000000002"/>
    <n v="4"/>
    <x v="0"/>
    <n v="0"/>
    <n v="0"/>
    <n v="55"/>
    <n v="6"/>
    <n v="0"/>
    <n v="823.74"/>
    <n v="201.73"/>
    <m/>
    <n v="1027.267676743804"/>
    <n v="217.52949647748915"/>
    <n v="0"/>
    <n v="1702.6705800000002"/>
    <n v="416.97591"/>
    <n v="0"/>
    <n v="2123.3622878294432"/>
    <n v="449.63346921897011"/>
  </r>
  <r>
    <s v="Regular"/>
    <x v="3"/>
    <x v="1"/>
    <x v="0"/>
    <x v="0"/>
    <x v="0"/>
    <x v="0"/>
    <x v="1"/>
    <x v="4"/>
    <n v="0"/>
    <n v="0"/>
    <n v="459.61200000000002"/>
    <n v="459.61200000000002"/>
    <n v="459.61200000000002"/>
    <n v="459.61200000000002"/>
    <n v="595"/>
    <x v="0"/>
    <n v="0"/>
    <n v="0"/>
    <n v="55"/>
    <n v="6"/>
    <n v="0"/>
    <n v="823.74"/>
    <n v="201.73"/>
    <m/>
    <n v="1027.267676743804"/>
    <n v="217.52949647748915"/>
    <n v="0"/>
    <n v="378600.78888000001"/>
    <n v="92717.528760000001"/>
    <n v="0"/>
    <n v="472144.55144357326"/>
    <n v="99979.166935011744"/>
  </r>
  <r>
    <s v="Sistema de Compensação"/>
    <x v="3"/>
    <x v="1"/>
    <x v="0"/>
    <x v="0"/>
    <x v="0"/>
    <x v="0"/>
    <x v="1"/>
    <x v="4"/>
    <n v="0"/>
    <n v="0"/>
    <n v="4.7469999999999999"/>
    <n v="4.7469999999999999"/>
    <n v="4.7469999999999999"/>
    <n v="4.7469999999999999"/>
    <n v="5"/>
    <x v="0"/>
    <n v="0"/>
    <n v="0"/>
    <n v="55"/>
    <n v="6"/>
    <n v="0"/>
    <n v="823.74"/>
    <n v="201.73"/>
    <m/>
    <n v="1027.267676743804"/>
    <n v="217.52949647748915"/>
    <n v="0"/>
    <n v="3910.29378"/>
    <n v="957.61230999999998"/>
    <n v="0"/>
    <n v="4876.4396615028372"/>
    <n v="1032.6125197786409"/>
  </r>
  <r>
    <s v="Regular"/>
    <x v="3"/>
    <x v="1"/>
    <x v="0"/>
    <x v="0"/>
    <x v="0"/>
    <x v="0"/>
    <x v="1"/>
    <x v="5"/>
    <n v="0"/>
    <n v="0"/>
    <n v="498.40899999999999"/>
    <n v="498.40899999999999"/>
    <n v="498.40899999999999"/>
    <n v="498.40899999999999"/>
    <n v="600"/>
    <x v="0"/>
    <n v="0"/>
    <n v="0"/>
    <n v="55"/>
    <n v="6"/>
    <n v="0"/>
    <n v="823.74"/>
    <n v="201.73"/>
    <m/>
    <n v="1027.267676743804"/>
    <n v="217.52949647748915"/>
    <n v="0"/>
    <n v="410559.42966000002"/>
    <n v="100544.04757"/>
    <n v="0"/>
    <n v="511999.45549820259"/>
    <n v="108418.65880984889"/>
  </r>
  <r>
    <s v="Sistema de Compensação"/>
    <x v="3"/>
    <x v="1"/>
    <x v="0"/>
    <x v="0"/>
    <x v="0"/>
    <x v="0"/>
    <x v="1"/>
    <x v="5"/>
    <n v="0"/>
    <n v="0"/>
    <n v="5.859"/>
    <n v="5.859"/>
    <n v="5.859"/>
    <n v="5.859"/>
    <n v="5"/>
    <x v="0"/>
    <n v="0"/>
    <n v="0"/>
    <n v="55"/>
    <n v="6"/>
    <n v="0"/>
    <n v="823.74"/>
    <n v="201.73"/>
    <m/>
    <n v="1027.267676743804"/>
    <n v="217.52949647748915"/>
    <n v="0"/>
    <n v="4826.2926600000001"/>
    <n v="1181.93607"/>
    <n v="0"/>
    <n v="6018.7613180419476"/>
    <n v="1274.505319861609"/>
  </r>
  <r>
    <s v="Regular"/>
    <x v="3"/>
    <x v="1"/>
    <x v="0"/>
    <x v="0"/>
    <x v="0"/>
    <x v="0"/>
    <x v="1"/>
    <x v="6"/>
    <n v="0"/>
    <n v="0"/>
    <n v="501.18400000000003"/>
    <n v="501.18400000000003"/>
    <n v="501.18400000000003"/>
    <n v="501.18400000000003"/>
    <n v="606"/>
    <x v="0"/>
    <n v="0"/>
    <n v="0"/>
    <n v="55"/>
    <n v="6"/>
    <n v="0"/>
    <n v="823.74"/>
    <n v="201.73"/>
    <m/>
    <n v="1027.267676743804"/>
    <n v="217.52949647748915"/>
    <n v="0"/>
    <n v="412845.30816000002"/>
    <n v="101103.84832"/>
    <n v="0"/>
    <n v="514850.12330116669"/>
    <n v="109022.30316257392"/>
  </r>
  <r>
    <s v="Sistema de Compensação"/>
    <x v="3"/>
    <x v="1"/>
    <x v="0"/>
    <x v="0"/>
    <x v="0"/>
    <x v="0"/>
    <x v="1"/>
    <x v="6"/>
    <n v="0"/>
    <n v="0"/>
    <n v="7.9329999999999998"/>
    <n v="7.9329999999999998"/>
    <n v="7.9329999999999998"/>
    <n v="7.9329999999999998"/>
    <n v="5"/>
    <x v="0"/>
    <n v="0"/>
    <n v="0"/>
    <n v="55"/>
    <n v="6"/>
    <n v="0"/>
    <n v="823.74"/>
    <n v="201.73"/>
    <m/>
    <n v="1027.267676743804"/>
    <n v="217.52949647748915"/>
    <n v="0"/>
    <n v="6534.7294199999997"/>
    <n v="1600.3240899999998"/>
    <n v="0"/>
    <n v="8149.3144796085971"/>
    <n v="1725.6614955559214"/>
  </r>
  <r>
    <s v="Regular"/>
    <x v="3"/>
    <x v="1"/>
    <x v="0"/>
    <x v="0"/>
    <x v="0"/>
    <x v="0"/>
    <x v="1"/>
    <x v="7"/>
    <n v="0"/>
    <n v="0"/>
    <n v="547.678"/>
    <n v="547.678"/>
    <n v="547.678"/>
    <n v="547.678"/>
    <n v="614"/>
    <x v="0"/>
    <n v="0"/>
    <n v="0"/>
    <n v="55"/>
    <n v="6"/>
    <n v="0"/>
    <n v="823.74"/>
    <n v="201.73"/>
    <m/>
    <n v="1027.267676743804"/>
    <n v="217.52949647748915"/>
    <n v="0"/>
    <n v="451144.27571999998"/>
    <n v="110483.08293999999"/>
    <n v="0"/>
    <n v="562611.90666369314"/>
    <n v="119136.11957179831"/>
  </r>
  <r>
    <s v="Refaturamento - Regular"/>
    <x v="3"/>
    <x v="1"/>
    <x v="0"/>
    <x v="0"/>
    <x v="0"/>
    <x v="0"/>
    <x v="1"/>
    <x v="7"/>
    <n v="0"/>
    <n v="0"/>
    <n v="-1.0660000000000001"/>
    <n v="-1.0660000000000001"/>
    <n v="-1.0660000000000001"/>
    <n v="-1.0660000000000001"/>
    <n v="0"/>
    <x v="0"/>
    <n v="0"/>
    <n v="0"/>
    <n v="55"/>
    <n v="6"/>
    <n v="0"/>
    <n v="823.74"/>
    <n v="201.73"/>
    <m/>
    <n v="1027.267676743804"/>
    <n v="217.52949647748915"/>
    <n v="0"/>
    <n v="-878.10684000000003"/>
    <n v="-215.04418000000001"/>
    <n v="0"/>
    <n v="-1095.0673434088951"/>
    <n v="-231.88644324500345"/>
  </r>
  <r>
    <s v="Sistema de Compensação"/>
    <x v="3"/>
    <x v="1"/>
    <x v="0"/>
    <x v="0"/>
    <x v="0"/>
    <x v="0"/>
    <x v="1"/>
    <x v="7"/>
    <n v="0"/>
    <n v="0"/>
    <n v="5.8879999999999999"/>
    <n v="5.8879999999999999"/>
    <n v="5.8879999999999999"/>
    <n v="5.8879999999999999"/>
    <n v="5"/>
    <x v="0"/>
    <n v="0"/>
    <n v="0"/>
    <n v="55"/>
    <n v="6"/>
    <n v="0"/>
    <n v="823.74"/>
    <n v="201.73"/>
    <m/>
    <n v="1027.267676743804"/>
    <n v="217.52949647748915"/>
    <n v="0"/>
    <n v="4850.1811200000002"/>
    <n v="1187.7862399999999"/>
    <n v="0"/>
    <n v="6048.5520806675177"/>
    <n v="1280.813675259456"/>
  </r>
  <r>
    <s v="Regular"/>
    <x v="3"/>
    <x v="1"/>
    <x v="0"/>
    <x v="0"/>
    <x v="0"/>
    <x v="0"/>
    <x v="1"/>
    <x v="8"/>
    <n v="0"/>
    <n v="0"/>
    <n v="589.98400000000004"/>
    <n v="589.98400000000004"/>
    <n v="589.98400000000004"/>
    <n v="589.98400000000004"/>
    <n v="612"/>
    <x v="0"/>
    <n v="0"/>
    <n v="0"/>
    <n v="55"/>
    <n v="6"/>
    <n v="0"/>
    <n v="823.74"/>
    <n v="201.73"/>
    <m/>
    <n v="1027.267676743804"/>
    <n v="217.52949647748915"/>
    <n v="0"/>
    <n v="485993.42016000004"/>
    <n v="119017.47232"/>
    <n v="0"/>
    <n v="606071.49299601652"/>
    <n v="128338.92244977497"/>
  </r>
  <r>
    <s v="Refaturamento - Regular"/>
    <x v="3"/>
    <x v="1"/>
    <x v="0"/>
    <x v="0"/>
    <x v="0"/>
    <x v="0"/>
    <x v="1"/>
    <x v="8"/>
    <n v="0"/>
    <n v="0"/>
    <n v="-5.0000000000000001E-3"/>
    <n v="-5.0000000000000001E-3"/>
    <n v="-5.0000000000000001E-3"/>
    <n v="-5.0000000000000001E-3"/>
    <n v="0"/>
    <x v="0"/>
    <n v="0"/>
    <n v="0"/>
    <n v="55"/>
    <n v="6"/>
    <n v="0"/>
    <n v="823.74"/>
    <n v="201.73"/>
    <m/>
    <n v="1027.267676743804"/>
    <n v="217.52949647748915"/>
    <n v="0"/>
    <n v="-4.1187000000000005"/>
    <n v="-1.00865"/>
    <n v="0"/>
    <n v="-5.1363383837190204"/>
    <n v="-1.0876474823874458"/>
  </r>
  <r>
    <s v="Sistema de Compensação"/>
    <x v="3"/>
    <x v="1"/>
    <x v="0"/>
    <x v="0"/>
    <x v="0"/>
    <x v="0"/>
    <x v="1"/>
    <x v="8"/>
    <n v="0"/>
    <n v="0"/>
    <n v="10.044"/>
    <n v="10.044"/>
    <n v="10.044"/>
    <n v="10.044"/>
    <n v="7"/>
    <x v="0"/>
    <n v="0"/>
    <n v="0"/>
    <n v="55"/>
    <n v="6"/>
    <n v="0"/>
    <n v="823.74"/>
    <n v="201.73"/>
    <m/>
    <n v="1027.267676743804"/>
    <n v="217.52949647748915"/>
    <n v="0"/>
    <n v="8273.6445600000006"/>
    <n v="2026.1761200000001"/>
    <n v="0"/>
    <n v="10317.876545214769"/>
    <n v="2184.8662626199011"/>
  </r>
  <r>
    <s v="Regular"/>
    <x v="3"/>
    <x v="1"/>
    <x v="0"/>
    <x v="0"/>
    <x v="0"/>
    <x v="0"/>
    <x v="1"/>
    <x v="9"/>
    <n v="0"/>
    <n v="0"/>
    <n v="597.91099999999994"/>
    <n v="597.91099999999994"/>
    <n v="597.91099999999994"/>
    <n v="597.91099999999994"/>
    <n v="608"/>
    <x v="0"/>
    <n v="0"/>
    <n v="0"/>
    <n v="55"/>
    <n v="6"/>
    <n v="0"/>
    <n v="823.74"/>
    <n v="201.73"/>
    <m/>
    <n v="1027.267676743804"/>
    <n v="217.52949647748915"/>
    <n v="0"/>
    <n v="492523.20713999995"/>
    <n v="120616.58602999998"/>
    <n v="0"/>
    <n v="614214.64386956452"/>
    <n v="130063.278768352"/>
  </r>
  <r>
    <s v="Refaturamento - Regular"/>
    <x v="3"/>
    <x v="1"/>
    <x v="0"/>
    <x v="0"/>
    <x v="0"/>
    <x v="0"/>
    <x v="1"/>
    <x v="9"/>
    <n v="0"/>
    <n v="0"/>
    <n v="-5.976"/>
    <n v="-5.976"/>
    <n v="-5.976"/>
    <n v="-5.976"/>
    <n v="0"/>
    <x v="0"/>
    <n v="0"/>
    <n v="0"/>
    <n v="55"/>
    <n v="6"/>
    <n v="0"/>
    <n v="823.74"/>
    <n v="201.73"/>
    <m/>
    <n v="1027.267676743804"/>
    <n v="217.52949647748915"/>
    <n v="0"/>
    <n v="-4922.6702400000004"/>
    <n v="-1205.5384799999999"/>
    <n v="0"/>
    <n v="-6138.9516362209724"/>
    <n v="-1299.9562709494751"/>
  </r>
  <r>
    <s v="Sistema de Compensação"/>
    <x v="3"/>
    <x v="1"/>
    <x v="0"/>
    <x v="0"/>
    <x v="0"/>
    <x v="0"/>
    <x v="1"/>
    <x v="9"/>
    <n v="0"/>
    <n v="0"/>
    <n v="16.041"/>
    <n v="16.041"/>
    <n v="16.041"/>
    <n v="16.041"/>
    <n v="10"/>
    <x v="0"/>
    <n v="0"/>
    <n v="0"/>
    <n v="55"/>
    <n v="6"/>
    <n v="0"/>
    <n v="823.74"/>
    <n v="201.73"/>
    <m/>
    <n v="1027.267676743804"/>
    <n v="217.52949647748915"/>
    <n v="0"/>
    <n v="13213.61334"/>
    <n v="3235.95093"/>
    <n v="0"/>
    <n v="16478.40080264736"/>
    <n v="3489.3906529954033"/>
  </r>
  <r>
    <s v="Regular"/>
    <x v="3"/>
    <x v="1"/>
    <x v="0"/>
    <x v="0"/>
    <x v="0"/>
    <x v="0"/>
    <x v="1"/>
    <x v="10"/>
    <n v="0"/>
    <n v="0"/>
    <n v="542.80700000000002"/>
    <n v="542.80700000000002"/>
    <n v="542.80700000000002"/>
    <n v="542.80700000000002"/>
    <n v="607"/>
    <x v="0"/>
    <n v="0"/>
    <n v="0"/>
    <n v="55"/>
    <n v="6"/>
    <n v="0"/>
    <n v="823.74"/>
    <n v="201.73"/>
    <m/>
    <n v="1027.267676743804"/>
    <n v="217.52949647748915"/>
    <n v="0"/>
    <n v="447131.83818000002"/>
    <n v="109500.45611"/>
    <n v="0"/>
    <n v="557608.085810274"/>
    <n v="118076.53339445645"/>
  </r>
  <r>
    <s v="Sistema de Compensação"/>
    <x v="3"/>
    <x v="1"/>
    <x v="0"/>
    <x v="0"/>
    <x v="0"/>
    <x v="0"/>
    <x v="1"/>
    <x v="10"/>
    <n v="0"/>
    <n v="0"/>
    <n v="14.662000000000001"/>
    <n v="14.662000000000001"/>
    <n v="14.662000000000001"/>
    <n v="14.662000000000001"/>
    <n v="11"/>
    <x v="0"/>
    <n v="0"/>
    <n v="0"/>
    <n v="55"/>
    <n v="6"/>
    <n v="0"/>
    <n v="823.74"/>
    <n v="201.73"/>
    <m/>
    <n v="1027.267676743804"/>
    <n v="217.52949647748915"/>
    <n v="0"/>
    <n v="12077.675880000001"/>
    <n v="2957.7652600000001"/>
    <n v="0"/>
    <n v="15061.798676417655"/>
    <n v="3189.4174773529462"/>
  </r>
  <r>
    <s v="Regular"/>
    <x v="3"/>
    <x v="1"/>
    <x v="0"/>
    <x v="0"/>
    <x v="0"/>
    <x v="0"/>
    <x v="1"/>
    <x v="11"/>
    <n v="0"/>
    <n v="0"/>
    <n v="554.46699999999998"/>
    <n v="554.46699999999998"/>
    <n v="554.46699999999998"/>
    <n v="554.46699999999998"/>
    <n v="602"/>
    <x v="0"/>
    <n v="0"/>
    <n v="0"/>
    <n v="55"/>
    <n v="6"/>
    <n v="0"/>
    <n v="823.74"/>
    <n v="201.73"/>
    <m/>
    <n v="1027.267676743804"/>
    <n v="217.52949647748915"/>
    <n v="0"/>
    <n v="456736.64658"/>
    <n v="111852.62791"/>
    <n v="0"/>
    <n v="569586.02692110674"/>
    <n v="120612.92732338398"/>
  </r>
  <r>
    <s v="Sistema de Compensação"/>
    <x v="3"/>
    <x v="1"/>
    <x v="0"/>
    <x v="0"/>
    <x v="0"/>
    <x v="0"/>
    <x v="1"/>
    <x v="11"/>
    <n v="0"/>
    <n v="0"/>
    <n v="30.631"/>
    <n v="30.631"/>
    <n v="30.631"/>
    <n v="30.631"/>
    <n v="16"/>
    <x v="0"/>
    <n v="0"/>
    <n v="0"/>
    <n v="55"/>
    <n v="6"/>
    <n v="0"/>
    <n v="823.74"/>
    <n v="201.73"/>
    <m/>
    <n v="1027.267676743804"/>
    <n v="217.52949647748915"/>
    <n v="0"/>
    <n v="25231.979940000001"/>
    <n v="6179.1916299999993"/>
    <n v="0"/>
    <n v="31466.236206339461"/>
    <n v="6663.1460066019699"/>
  </r>
  <r>
    <s v="Regular"/>
    <x v="3"/>
    <x v="1"/>
    <x v="4"/>
    <x v="0"/>
    <x v="0"/>
    <x v="0"/>
    <x v="1"/>
    <x v="0"/>
    <n v="0"/>
    <n v="0"/>
    <n v="2.3029999999999999"/>
    <n v="2.3029999999999999"/>
    <n v="2.3029999999999999"/>
    <n v="2.3029999999999999"/>
    <n v="1"/>
    <x v="0"/>
    <n v="0"/>
    <n v="0"/>
    <n v="55"/>
    <n v="6"/>
    <n v="0"/>
    <n v="823.74"/>
    <n v="201.73"/>
    <m/>
    <n v="1027.267676743804"/>
    <n v="217.52949647748915"/>
    <n v="0"/>
    <n v="1897.07322"/>
    <n v="464.58418999999998"/>
    <n v="0"/>
    <n v="2365.7974595409805"/>
    <n v="500.97043038765747"/>
  </r>
  <r>
    <s v="Regular"/>
    <x v="3"/>
    <x v="1"/>
    <x v="4"/>
    <x v="0"/>
    <x v="0"/>
    <x v="0"/>
    <x v="1"/>
    <x v="1"/>
    <n v="0"/>
    <n v="0"/>
    <n v="1.4079999999999999"/>
    <n v="1.4079999999999999"/>
    <n v="1.4079999999999999"/>
    <n v="1.4079999999999999"/>
    <n v="1"/>
    <x v="0"/>
    <n v="0"/>
    <n v="0"/>
    <n v="55"/>
    <n v="6"/>
    <n v="0"/>
    <n v="823.74"/>
    <n v="201.73"/>
    <m/>
    <n v="1027.267676743804"/>
    <n v="217.52949647748915"/>
    <n v="0"/>
    <n v="1159.82592"/>
    <n v="284.03583999999995"/>
    <n v="0"/>
    <n v="1446.3928888552759"/>
    <n v="306.28153104030469"/>
  </r>
  <r>
    <s v="Regular"/>
    <x v="3"/>
    <x v="1"/>
    <x v="4"/>
    <x v="0"/>
    <x v="0"/>
    <x v="0"/>
    <x v="1"/>
    <x v="2"/>
    <n v="0"/>
    <n v="0"/>
    <n v="1.1579999999999999"/>
    <n v="1.1579999999999999"/>
    <n v="1.1579999999999999"/>
    <n v="1.1579999999999999"/>
    <n v="1"/>
    <x v="0"/>
    <n v="0"/>
    <n v="0"/>
    <n v="55"/>
    <n v="6"/>
    <n v="0"/>
    <n v="823.74"/>
    <n v="201.73"/>
    <m/>
    <n v="1027.267676743804"/>
    <n v="217.52949647748915"/>
    <n v="0"/>
    <n v="953.89091999999994"/>
    <n v="233.60333999999997"/>
    <n v="0"/>
    <n v="1189.5759696693249"/>
    <n v="251.89915692093243"/>
  </r>
  <r>
    <s v="Regular"/>
    <x v="3"/>
    <x v="1"/>
    <x v="4"/>
    <x v="0"/>
    <x v="0"/>
    <x v="0"/>
    <x v="1"/>
    <x v="3"/>
    <n v="0"/>
    <n v="0"/>
    <n v="1.0029999999999999"/>
    <n v="1.0029999999999999"/>
    <n v="1.0029999999999999"/>
    <n v="1.0029999999999999"/>
    <n v="1"/>
    <x v="0"/>
    <n v="0"/>
    <n v="0"/>
    <n v="55"/>
    <n v="6"/>
    <n v="0"/>
    <n v="823.74"/>
    <n v="201.73"/>
    <m/>
    <n v="1027.267676743804"/>
    <n v="217.52949647748915"/>
    <n v="0"/>
    <n v="826.21121999999991"/>
    <n v="202.33518999999995"/>
    <n v="0"/>
    <n v="1030.3494797740354"/>
    <n v="218.18208496692159"/>
  </r>
  <r>
    <s v="Regular"/>
    <x v="3"/>
    <x v="1"/>
    <x v="4"/>
    <x v="0"/>
    <x v="0"/>
    <x v="0"/>
    <x v="1"/>
    <x v="4"/>
    <n v="0"/>
    <n v="0"/>
    <n v="1.109"/>
    <n v="1.109"/>
    <n v="1.109"/>
    <n v="1.109"/>
    <n v="1"/>
    <x v="0"/>
    <n v="0"/>
    <n v="0"/>
    <n v="55"/>
    <n v="6"/>
    <n v="0"/>
    <n v="823.74"/>
    <n v="201.73"/>
    <m/>
    <n v="1027.267676743804"/>
    <n v="217.52949647748915"/>
    <n v="0"/>
    <n v="913.52765999999997"/>
    <n v="223.71857"/>
    <n v="0"/>
    <n v="1139.2398535088787"/>
    <n v="241.24021159353546"/>
  </r>
  <r>
    <s v="Regular"/>
    <x v="3"/>
    <x v="1"/>
    <x v="4"/>
    <x v="0"/>
    <x v="0"/>
    <x v="0"/>
    <x v="1"/>
    <x v="5"/>
    <n v="0"/>
    <n v="0"/>
    <n v="2.149"/>
    <n v="2.149"/>
    <n v="2.149"/>
    <n v="2.149"/>
    <n v="1"/>
    <x v="0"/>
    <n v="0"/>
    <n v="0"/>
    <n v="55"/>
    <n v="6"/>
    <n v="0"/>
    <n v="823.74"/>
    <n v="201.73"/>
    <m/>
    <n v="1027.267676743804"/>
    <n v="217.52949647748915"/>
    <n v="0"/>
    <n v="1770.2172600000001"/>
    <n v="433.51776999999998"/>
    <n v="0"/>
    <n v="2207.5982373224347"/>
    <n v="467.47088793012421"/>
  </r>
  <r>
    <s v="Regular"/>
    <x v="3"/>
    <x v="1"/>
    <x v="4"/>
    <x v="0"/>
    <x v="0"/>
    <x v="0"/>
    <x v="1"/>
    <x v="6"/>
    <n v="0"/>
    <n v="0"/>
    <n v="2.2170000000000001"/>
    <n v="2.2170000000000001"/>
    <n v="2.2170000000000001"/>
    <n v="2.2170000000000001"/>
    <n v="1"/>
    <x v="0"/>
    <n v="0"/>
    <n v="0"/>
    <n v="55"/>
    <n v="6"/>
    <n v="0"/>
    <n v="823.74"/>
    <n v="201.73"/>
    <m/>
    <n v="1027.267676743804"/>
    <n v="217.52949647748915"/>
    <n v="0"/>
    <n v="1826.2315800000001"/>
    <n v="447.23541"/>
    <n v="0"/>
    <n v="2277.4524393410138"/>
    <n v="482.26289369059344"/>
  </r>
  <r>
    <s v="Regular"/>
    <x v="3"/>
    <x v="1"/>
    <x v="4"/>
    <x v="0"/>
    <x v="0"/>
    <x v="0"/>
    <x v="1"/>
    <x v="7"/>
    <n v="0"/>
    <n v="0"/>
    <n v="2.0489999999999999"/>
    <n v="2.0489999999999999"/>
    <n v="2.0489999999999999"/>
    <n v="2.0489999999999999"/>
    <n v="1"/>
    <x v="0"/>
    <n v="0"/>
    <n v="0"/>
    <n v="55"/>
    <n v="6"/>
    <n v="0"/>
    <n v="823.74"/>
    <n v="201.73"/>
    <m/>
    <n v="1027.267676743804"/>
    <n v="217.52949647748915"/>
    <n v="0"/>
    <n v="1687.8432599999999"/>
    <n v="413.34476999999998"/>
    <n v="0"/>
    <n v="2104.8714696480542"/>
    <n v="445.71793828237526"/>
  </r>
  <r>
    <s v="Regular"/>
    <x v="3"/>
    <x v="1"/>
    <x v="4"/>
    <x v="0"/>
    <x v="0"/>
    <x v="0"/>
    <x v="1"/>
    <x v="8"/>
    <n v="0"/>
    <n v="0"/>
    <n v="2.4540000000000002"/>
    <n v="2.4540000000000002"/>
    <n v="2.4540000000000002"/>
    <n v="2.4540000000000002"/>
    <n v="1"/>
    <x v="0"/>
    <n v="0"/>
    <n v="0"/>
    <n v="55"/>
    <n v="6"/>
    <n v="0"/>
    <n v="823.74"/>
    <n v="201.73"/>
    <m/>
    <n v="1027.267676743804"/>
    <n v="217.52949647748915"/>
    <n v="0"/>
    <n v="2021.4579600000002"/>
    <n v="495.04542000000004"/>
    <n v="0"/>
    <n v="2520.9148787292952"/>
    <n v="533.81738435575835"/>
  </r>
  <r>
    <s v="Regular"/>
    <x v="3"/>
    <x v="1"/>
    <x v="4"/>
    <x v="0"/>
    <x v="0"/>
    <x v="0"/>
    <x v="1"/>
    <x v="9"/>
    <n v="0"/>
    <n v="0"/>
    <n v="1.929"/>
    <n v="1.929"/>
    <n v="1.929"/>
    <n v="1.929"/>
    <n v="1"/>
    <x v="0"/>
    <n v="0"/>
    <n v="0"/>
    <n v="55"/>
    <n v="6"/>
    <n v="0"/>
    <n v="823.74"/>
    <n v="201.73"/>
    <m/>
    <n v="1027.267676743804"/>
    <n v="217.52949647748915"/>
    <n v="0"/>
    <n v="1588.9944600000001"/>
    <n v="389.13716999999997"/>
    <n v="0"/>
    <n v="1981.599348438798"/>
    <n v="419.61439870507655"/>
  </r>
  <r>
    <s v="Regular"/>
    <x v="3"/>
    <x v="1"/>
    <x v="4"/>
    <x v="0"/>
    <x v="0"/>
    <x v="0"/>
    <x v="1"/>
    <x v="10"/>
    <n v="0"/>
    <n v="0"/>
    <n v="2.7389999999999999"/>
    <n v="2.7389999999999999"/>
    <n v="2.7389999999999999"/>
    <n v="2.7389999999999999"/>
    <n v="1"/>
    <x v="0"/>
    <n v="0"/>
    <n v="0"/>
    <n v="55"/>
    <n v="6"/>
    <n v="0"/>
    <n v="823.74"/>
    <n v="201.73"/>
    <m/>
    <n v="1027.267676743804"/>
    <n v="217.52949647748915"/>
    <n v="0"/>
    <n v="2256.2238600000001"/>
    <n v="552.53846999999996"/>
    <n v="0"/>
    <n v="2813.6861666012792"/>
    <n v="595.81329085184279"/>
  </r>
  <r>
    <s v="Regular"/>
    <x v="3"/>
    <x v="1"/>
    <x v="4"/>
    <x v="0"/>
    <x v="0"/>
    <x v="0"/>
    <x v="1"/>
    <x v="11"/>
    <n v="0"/>
    <n v="0"/>
    <n v="3.8340000000000001"/>
    <n v="3.8340000000000001"/>
    <n v="3.8340000000000001"/>
    <n v="3.8340000000000001"/>
    <n v="1"/>
    <x v="0"/>
    <n v="0"/>
    <n v="0"/>
    <n v="55"/>
    <n v="6"/>
    <n v="0"/>
    <n v="823.74"/>
    <n v="201.73"/>
    <m/>
    <n v="1027.267676743804"/>
    <n v="217.52949647748915"/>
    <n v="0"/>
    <n v="3158.2191600000001"/>
    <n v="773.43281999999999"/>
    <n v="0"/>
    <n v="3938.5442726357446"/>
    <n v="834.00808949469342"/>
  </r>
  <r>
    <s v="Regular"/>
    <x v="3"/>
    <x v="1"/>
    <x v="1"/>
    <x v="0"/>
    <x v="0"/>
    <x v="0"/>
    <x v="1"/>
    <x v="0"/>
    <n v="0"/>
    <n v="0"/>
    <n v="14.379"/>
    <n v="14.379"/>
    <n v="14.379"/>
    <n v="14.379"/>
    <n v="3"/>
    <x v="0"/>
    <n v="0"/>
    <n v="0"/>
    <n v="55"/>
    <n v="6"/>
    <n v="0"/>
    <n v="823.74"/>
    <n v="201.73"/>
    <m/>
    <n v="1027.267676743804"/>
    <n v="217.52949647748915"/>
    <n v="0"/>
    <n v="11844.55746"/>
    <n v="2900.6756699999996"/>
    <n v="0"/>
    <n v="14771.081923899157"/>
    <n v="3127.8566298498163"/>
  </r>
  <r>
    <s v="Sistema de Compensação"/>
    <x v="3"/>
    <x v="1"/>
    <x v="1"/>
    <x v="0"/>
    <x v="0"/>
    <x v="0"/>
    <x v="1"/>
    <x v="0"/>
    <n v="0"/>
    <n v="0"/>
    <n v="0.495"/>
    <n v="0.495"/>
    <n v="0.495"/>
    <n v="0.495"/>
    <n v="1"/>
    <x v="0"/>
    <n v="0"/>
    <n v="0"/>
    <n v="55"/>
    <n v="6"/>
    <n v="0"/>
    <n v="823.74"/>
    <n v="201.73"/>
    <m/>
    <n v="1027.267676743804"/>
    <n v="217.52949647748915"/>
    <n v="0"/>
    <n v="407.75130000000001"/>
    <n v="99.856349999999992"/>
    <n v="0"/>
    <n v="508.49749998818299"/>
    <n v="107.67710075635712"/>
  </r>
  <r>
    <s v="Regular"/>
    <x v="3"/>
    <x v="1"/>
    <x v="1"/>
    <x v="0"/>
    <x v="0"/>
    <x v="0"/>
    <x v="1"/>
    <x v="1"/>
    <n v="0"/>
    <n v="0"/>
    <n v="13.557"/>
    <n v="13.557"/>
    <n v="13.557"/>
    <n v="13.557"/>
    <n v="3"/>
    <x v="0"/>
    <n v="0"/>
    <n v="0"/>
    <n v="55"/>
    <n v="6"/>
    <n v="0"/>
    <n v="823.74"/>
    <n v="201.73"/>
    <m/>
    <n v="1027.267676743804"/>
    <n v="217.52949647748915"/>
    <n v="0"/>
    <n v="11167.44318"/>
    <n v="2734.8536100000001"/>
    <n v="0"/>
    <n v="13926.667893615751"/>
    <n v="2949.0473837453205"/>
  </r>
  <r>
    <s v="Sistema de Compensação"/>
    <x v="3"/>
    <x v="1"/>
    <x v="1"/>
    <x v="0"/>
    <x v="0"/>
    <x v="0"/>
    <x v="1"/>
    <x v="1"/>
    <n v="0"/>
    <n v="0"/>
    <n v="1.4350000000000001"/>
    <n v="1.4350000000000001"/>
    <n v="1.4350000000000001"/>
    <n v="1.4350000000000001"/>
    <n v="1"/>
    <x v="0"/>
    <n v="0"/>
    <n v="0"/>
    <n v="55"/>
    <n v="6"/>
    <n v="0"/>
    <n v="823.74"/>
    <n v="201.73"/>
    <m/>
    <n v="1027.267676743804"/>
    <n v="217.52949647748915"/>
    <n v="0"/>
    <n v="1182.0669"/>
    <n v="289.48255"/>
    <n v="0"/>
    <n v="1474.1291161273589"/>
    <n v="312.15482744519693"/>
  </r>
  <r>
    <s v="Regular"/>
    <x v="3"/>
    <x v="1"/>
    <x v="1"/>
    <x v="0"/>
    <x v="0"/>
    <x v="0"/>
    <x v="1"/>
    <x v="2"/>
    <n v="0"/>
    <n v="0"/>
    <n v="12.391999999999999"/>
    <n v="12.391999999999999"/>
    <n v="12.391999999999999"/>
    <n v="12.391999999999999"/>
    <n v="3"/>
    <x v="0"/>
    <n v="0"/>
    <n v="0"/>
    <n v="55"/>
    <n v="6"/>
    <n v="0"/>
    <n v="823.74"/>
    <n v="201.73"/>
    <m/>
    <n v="1027.267676743804"/>
    <n v="217.52949647748915"/>
    <n v="0"/>
    <n v="10207.78608"/>
    <n v="2499.8381599999998"/>
    <n v="0"/>
    <n v="12729.901050209219"/>
    <n v="2695.6255203490455"/>
  </r>
  <r>
    <s v="Sistema de Compensação"/>
    <x v="3"/>
    <x v="1"/>
    <x v="1"/>
    <x v="0"/>
    <x v="0"/>
    <x v="0"/>
    <x v="1"/>
    <x v="2"/>
    <n v="0"/>
    <n v="0"/>
    <n v="1.054"/>
    <n v="1.054"/>
    <n v="1.054"/>
    <n v="1.054"/>
    <n v="1"/>
    <x v="0"/>
    <n v="0"/>
    <n v="0"/>
    <n v="55"/>
    <n v="6"/>
    <n v="0"/>
    <n v="823.74"/>
    <n v="201.73"/>
    <m/>
    <n v="1027.267676743804"/>
    <n v="217.52949647748915"/>
    <n v="0"/>
    <n v="868.22196000000008"/>
    <n v="212.62342000000001"/>
    <n v="0"/>
    <n v="1082.7401312879695"/>
    <n v="229.27608928727358"/>
  </r>
  <r>
    <s v="Regular"/>
    <x v="3"/>
    <x v="1"/>
    <x v="1"/>
    <x v="0"/>
    <x v="0"/>
    <x v="0"/>
    <x v="1"/>
    <x v="3"/>
    <n v="0"/>
    <n v="0"/>
    <n v="10.443"/>
    <n v="10.443"/>
    <n v="10.443"/>
    <n v="10.443"/>
    <n v="3"/>
    <x v="0"/>
    <n v="0"/>
    <n v="0"/>
    <n v="55"/>
    <n v="6"/>
    <n v="0"/>
    <n v="823.74"/>
    <n v="201.73"/>
    <m/>
    <n v="1027.267676743804"/>
    <n v="217.52949647748915"/>
    <n v="0"/>
    <n v="8602.31682"/>
    <n v="2106.6663899999999"/>
    <n v="0"/>
    <n v="10727.756348235545"/>
    <n v="2271.660531714419"/>
  </r>
  <r>
    <s v="Sistema de Compensação"/>
    <x v="3"/>
    <x v="1"/>
    <x v="1"/>
    <x v="0"/>
    <x v="0"/>
    <x v="0"/>
    <x v="1"/>
    <x v="3"/>
    <n v="0"/>
    <n v="0"/>
    <n v="0.61399999999999999"/>
    <n v="0.61399999999999999"/>
    <n v="0.61399999999999999"/>
    <n v="0.61399999999999999"/>
    <n v="1"/>
    <x v="0"/>
    <n v="0"/>
    <n v="0"/>
    <n v="55"/>
    <n v="6"/>
    <n v="0"/>
    <n v="823.74"/>
    <n v="201.73"/>
    <m/>
    <n v="1027.267676743804"/>
    <n v="217.52949647748915"/>
    <n v="0"/>
    <n v="505.77636000000001"/>
    <n v="123.86221999999999"/>
    <n v="0"/>
    <n v="630.7423535206957"/>
    <n v="133.56311083717833"/>
  </r>
  <r>
    <s v="Regular"/>
    <x v="3"/>
    <x v="1"/>
    <x v="1"/>
    <x v="0"/>
    <x v="0"/>
    <x v="0"/>
    <x v="1"/>
    <x v="4"/>
    <n v="0"/>
    <n v="0"/>
    <n v="10.656000000000001"/>
    <n v="10.656000000000001"/>
    <n v="10.656000000000001"/>
    <n v="10.656000000000001"/>
    <n v="3"/>
    <x v="0"/>
    <n v="0"/>
    <n v="0"/>
    <n v="55"/>
    <n v="6"/>
    <n v="0"/>
    <n v="823.74"/>
    <n v="201.73"/>
    <m/>
    <n v="1027.267676743804"/>
    <n v="217.52949647748915"/>
    <n v="0"/>
    <n v="8777.7734400000008"/>
    <n v="2149.6348800000001"/>
    <n v="0"/>
    <n v="10946.564363381976"/>
    <n v="2317.9943144641243"/>
  </r>
  <r>
    <s v="Sistema de Compensação"/>
    <x v="3"/>
    <x v="1"/>
    <x v="1"/>
    <x v="0"/>
    <x v="0"/>
    <x v="0"/>
    <x v="1"/>
    <x v="4"/>
    <n v="0"/>
    <n v="0"/>
    <n v="0.65"/>
    <n v="0.65"/>
    <n v="0.65"/>
    <n v="0.65"/>
    <n v="1"/>
    <x v="0"/>
    <n v="0"/>
    <n v="0"/>
    <n v="55"/>
    <n v="6"/>
    <n v="0"/>
    <n v="823.74"/>
    <n v="201.73"/>
    <m/>
    <n v="1027.267676743804"/>
    <n v="217.52949647748915"/>
    <n v="0"/>
    <n v="535.43100000000004"/>
    <n v="131.12450000000001"/>
    <n v="0"/>
    <n v="667.72398988347265"/>
    <n v="141.39417271036794"/>
  </r>
  <r>
    <s v="Regular"/>
    <x v="3"/>
    <x v="1"/>
    <x v="1"/>
    <x v="0"/>
    <x v="0"/>
    <x v="0"/>
    <x v="1"/>
    <x v="5"/>
    <n v="0"/>
    <n v="0"/>
    <n v="12.375"/>
    <n v="12.375"/>
    <n v="12.375"/>
    <n v="12.375"/>
    <n v="3"/>
    <x v="0"/>
    <n v="0"/>
    <n v="0"/>
    <n v="55"/>
    <n v="6"/>
    <n v="0"/>
    <n v="823.74"/>
    <n v="201.73"/>
    <m/>
    <n v="1027.267676743804"/>
    <n v="217.52949647748915"/>
    <n v="0"/>
    <n v="10193.782499999999"/>
    <n v="2496.4087500000001"/>
    <n v="0"/>
    <n v="12712.437499704574"/>
    <n v="2691.9275189089281"/>
  </r>
  <r>
    <s v="Sistema de Compensação"/>
    <x v="3"/>
    <x v="1"/>
    <x v="1"/>
    <x v="0"/>
    <x v="0"/>
    <x v="0"/>
    <x v="1"/>
    <x v="5"/>
    <n v="0"/>
    <n v="0"/>
    <n v="0.97"/>
    <n v="0.97"/>
    <n v="0.97"/>
    <n v="0.97"/>
    <n v="1"/>
    <x v="0"/>
    <n v="0"/>
    <n v="0"/>
    <n v="55"/>
    <n v="6"/>
    <n v="0"/>
    <n v="823.74"/>
    <n v="201.73"/>
    <m/>
    <n v="1027.267676743804"/>
    <n v="217.52949647748915"/>
    <n v="0"/>
    <n v="799.02779999999996"/>
    <n v="195.67809999999997"/>
    <n v="0"/>
    <n v="996.4496464414899"/>
    <n v="211.00361158316446"/>
  </r>
  <r>
    <s v="Regular"/>
    <x v="3"/>
    <x v="1"/>
    <x v="1"/>
    <x v="0"/>
    <x v="0"/>
    <x v="0"/>
    <x v="1"/>
    <x v="6"/>
    <n v="0"/>
    <n v="0"/>
    <n v="12.571"/>
    <n v="12.571"/>
    <n v="12.571"/>
    <n v="12.571"/>
    <n v="3"/>
    <x v="0"/>
    <n v="0"/>
    <n v="0"/>
    <n v="55"/>
    <n v="6"/>
    <n v="0"/>
    <n v="823.74"/>
    <n v="201.73"/>
    <m/>
    <n v="1027.267676743804"/>
    <n v="217.52949647748915"/>
    <n v="0"/>
    <n v="10355.23554"/>
    <n v="2535.9478299999996"/>
    <n v="0"/>
    <n v="12913.781964346361"/>
    <n v="2734.5633002185159"/>
  </r>
  <r>
    <s v="Sistema de Compensação"/>
    <x v="3"/>
    <x v="1"/>
    <x v="1"/>
    <x v="0"/>
    <x v="0"/>
    <x v="0"/>
    <x v="1"/>
    <x v="6"/>
    <n v="0"/>
    <n v="0"/>
    <n v="1.429"/>
    <n v="1.429"/>
    <n v="1.429"/>
    <n v="1.429"/>
    <n v="1"/>
    <x v="0"/>
    <n v="0"/>
    <n v="0"/>
    <n v="55"/>
    <n v="6"/>
    <n v="0"/>
    <n v="823.74"/>
    <n v="201.73"/>
    <m/>
    <n v="1027.267676743804"/>
    <n v="217.52949647748915"/>
    <n v="0"/>
    <n v="1177.12446"/>
    <n v="288.27217000000002"/>
    <n v="0"/>
    <n v="1467.9655100668961"/>
    <n v="310.84965046633198"/>
  </r>
  <r>
    <s v="Regular"/>
    <x v="3"/>
    <x v="1"/>
    <x v="1"/>
    <x v="0"/>
    <x v="0"/>
    <x v="0"/>
    <x v="1"/>
    <x v="7"/>
    <n v="0"/>
    <n v="0"/>
    <n v="13.385999999999999"/>
    <n v="13.385999999999999"/>
    <n v="13.385999999999999"/>
    <n v="13.385999999999999"/>
    <n v="3"/>
    <x v="0"/>
    <n v="0"/>
    <n v="0"/>
    <n v="55"/>
    <n v="6"/>
    <n v="0"/>
    <n v="823.74"/>
    <n v="201.73"/>
    <m/>
    <n v="1027.267676743804"/>
    <n v="217.52949647748915"/>
    <n v="0"/>
    <n v="11026.583639999999"/>
    <n v="2700.3577799999998"/>
    <n v="0"/>
    <n v="13751.00512089256"/>
    <n v="2911.8498398476695"/>
  </r>
  <r>
    <s v="Sistema de Compensação"/>
    <x v="3"/>
    <x v="1"/>
    <x v="1"/>
    <x v="0"/>
    <x v="0"/>
    <x v="0"/>
    <x v="1"/>
    <x v="7"/>
    <n v="0"/>
    <n v="0"/>
    <n v="1.2529999999999999"/>
    <n v="1.2529999999999999"/>
    <n v="1.2529999999999999"/>
    <n v="1.2529999999999999"/>
    <n v="1"/>
    <x v="0"/>
    <n v="0"/>
    <n v="0"/>
    <n v="55"/>
    <n v="6"/>
    <n v="0"/>
    <n v="823.74"/>
    <n v="201.73"/>
    <m/>
    <n v="1027.267676743804"/>
    <n v="217.52949647748915"/>
    <n v="0"/>
    <n v="1032.1462199999999"/>
    <n v="252.76768999999996"/>
    <n v="0"/>
    <n v="1287.1663989599863"/>
    <n v="272.56445908629388"/>
  </r>
  <r>
    <s v="Regular"/>
    <x v="3"/>
    <x v="1"/>
    <x v="1"/>
    <x v="0"/>
    <x v="0"/>
    <x v="0"/>
    <x v="1"/>
    <x v="8"/>
    <n v="0"/>
    <n v="0"/>
    <n v="13.257999999999999"/>
    <n v="13.257999999999999"/>
    <n v="13.257999999999999"/>
    <n v="13.257999999999999"/>
    <n v="3"/>
    <x v="0"/>
    <n v="0"/>
    <n v="0"/>
    <n v="55"/>
    <n v="6"/>
    <n v="0"/>
    <n v="823.74"/>
    <n v="201.73"/>
    <m/>
    <n v="1027.267676743804"/>
    <n v="217.52949647748915"/>
    <n v="0"/>
    <n v="10921.144919999999"/>
    <n v="2674.5363399999997"/>
    <n v="0"/>
    <n v="13619.514858269353"/>
    <n v="2884.0060642985509"/>
  </r>
  <r>
    <s v="Sistema de Compensação"/>
    <x v="3"/>
    <x v="1"/>
    <x v="1"/>
    <x v="0"/>
    <x v="0"/>
    <x v="0"/>
    <x v="1"/>
    <x v="8"/>
    <n v="0"/>
    <n v="0"/>
    <n v="1.0860000000000001"/>
    <n v="1.0860000000000001"/>
    <n v="1.0860000000000001"/>
    <n v="1.0860000000000001"/>
    <n v="1"/>
    <x v="0"/>
    <n v="0"/>
    <n v="0"/>
    <n v="55"/>
    <n v="6"/>
    <n v="0"/>
    <n v="823.74"/>
    <n v="201.73"/>
    <m/>
    <n v="1027.267676743804"/>
    <n v="217.52949647748915"/>
    <n v="0"/>
    <n v="894.58164000000011"/>
    <n v="219.07877999999999"/>
    <n v="0"/>
    <n v="1115.6126969437712"/>
    <n v="236.23703317455323"/>
  </r>
  <r>
    <s v="Regular"/>
    <x v="3"/>
    <x v="1"/>
    <x v="1"/>
    <x v="0"/>
    <x v="0"/>
    <x v="0"/>
    <x v="1"/>
    <x v="9"/>
    <n v="0"/>
    <n v="0"/>
    <n v="13.843"/>
    <n v="13.843"/>
    <n v="13.843"/>
    <n v="13.843"/>
    <n v="3"/>
    <x v="0"/>
    <n v="0"/>
    <n v="0"/>
    <n v="55"/>
    <n v="6"/>
    <n v="0"/>
    <n v="823.74"/>
    <n v="201.73"/>
    <m/>
    <n v="1027.267676743804"/>
    <n v="217.52949647748915"/>
    <n v="0"/>
    <n v="11403.03282"/>
    <n v="2792.5483899999999"/>
    <n v="0"/>
    <n v="14220.46644916448"/>
    <n v="3011.2608197378822"/>
  </r>
  <r>
    <s v="Sistema de Compensação"/>
    <x v="3"/>
    <x v="1"/>
    <x v="1"/>
    <x v="0"/>
    <x v="0"/>
    <x v="0"/>
    <x v="1"/>
    <x v="9"/>
    <n v="0"/>
    <n v="0"/>
    <n v="2.2919999999999998"/>
    <n v="2.2919999999999998"/>
    <n v="2.2919999999999998"/>
    <n v="2.2919999999999998"/>
    <n v="1"/>
    <x v="0"/>
    <n v="0"/>
    <n v="0"/>
    <n v="55"/>
    <n v="6"/>
    <n v="0"/>
    <n v="823.74"/>
    <n v="201.73"/>
    <m/>
    <n v="1027.267676743804"/>
    <n v="217.52949647748915"/>
    <n v="0"/>
    <n v="1888.01208"/>
    <n v="462.36515999999995"/>
    <n v="0"/>
    <n v="2354.4975150967985"/>
    <n v="498.57760592640511"/>
  </r>
  <r>
    <s v="Regular"/>
    <x v="3"/>
    <x v="1"/>
    <x v="1"/>
    <x v="0"/>
    <x v="0"/>
    <x v="0"/>
    <x v="1"/>
    <x v="10"/>
    <n v="0"/>
    <n v="0"/>
    <n v="15.983000000000001"/>
    <n v="15.983000000000001"/>
    <n v="15.983000000000001"/>
    <n v="15.983000000000001"/>
    <n v="3"/>
    <x v="0"/>
    <n v="0"/>
    <n v="0"/>
    <n v="55"/>
    <n v="6"/>
    <n v="0"/>
    <n v="823.74"/>
    <n v="201.73"/>
    <m/>
    <n v="1027.267676743804"/>
    <n v="217.52949647748915"/>
    <n v="0"/>
    <n v="13165.836420000001"/>
    <n v="3224.2505900000001"/>
    <n v="0"/>
    <n v="16418.819277396222"/>
    <n v="3476.7739421997089"/>
  </r>
  <r>
    <s v="Sistema de Compensação"/>
    <x v="3"/>
    <x v="1"/>
    <x v="1"/>
    <x v="0"/>
    <x v="0"/>
    <x v="0"/>
    <x v="1"/>
    <x v="10"/>
    <n v="0"/>
    <n v="0"/>
    <n v="0.56799999999999995"/>
    <n v="0.56799999999999995"/>
    <n v="0.56799999999999995"/>
    <n v="0.56799999999999995"/>
    <n v="1"/>
    <x v="0"/>
    <n v="0"/>
    <n v="0"/>
    <n v="55"/>
    <n v="6"/>
    <n v="0"/>
    <n v="823.74"/>
    <n v="201.73"/>
    <m/>
    <n v="1027.267676743804"/>
    <n v="217.52949647748915"/>
    <n v="0"/>
    <n v="467.88431999999995"/>
    <n v="114.58263999999998"/>
    <n v="0"/>
    <n v="583.48804039048059"/>
    <n v="123.55675399921383"/>
  </r>
  <r>
    <s v="Regular"/>
    <x v="3"/>
    <x v="1"/>
    <x v="1"/>
    <x v="0"/>
    <x v="0"/>
    <x v="0"/>
    <x v="1"/>
    <x v="11"/>
    <n v="0"/>
    <n v="0"/>
    <n v="14.034000000000001"/>
    <n v="14.034000000000001"/>
    <n v="14.034000000000001"/>
    <n v="14.034000000000001"/>
    <n v="3"/>
    <x v="0"/>
    <n v="0"/>
    <n v="0"/>
    <n v="55"/>
    <n v="6"/>
    <n v="0"/>
    <n v="823.74"/>
    <n v="201.73"/>
    <m/>
    <n v="1027.267676743804"/>
    <n v="217.52949647748915"/>
    <n v="0"/>
    <n v="11560.367160000002"/>
    <n v="2831.0788200000002"/>
    <n v="0"/>
    <n v="14416.674575422547"/>
    <n v="3052.8089535650829"/>
  </r>
  <r>
    <s v="Sistema de Compensação"/>
    <x v="3"/>
    <x v="1"/>
    <x v="1"/>
    <x v="0"/>
    <x v="0"/>
    <x v="0"/>
    <x v="1"/>
    <x v="11"/>
    <n v="0"/>
    <n v="0"/>
    <n v="0.1"/>
    <n v="0.1"/>
    <n v="0.1"/>
    <n v="0.1"/>
    <n v="1"/>
    <x v="0"/>
    <n v="0"/>
    <n v="0"/>
    <n v="55"/>
    <n v="6"/>
    <n v="0"/>
    <n v="823.74"/>
    <n v="201.73"/>
    <m/>
    <n v="1027.267676743804"/>
    <n v="217.52949647748915"/>
    <n v="0"/>
    <n v="82.374000000000009"/>
    <n v="20.173000000000002"/>
    <n v="0"/>
    <n v="102.72676767438041"/>
    <n v="21.752949647748917"/>
  </r>
  <r>
    <s v="Regular"/>
    <x v="3"/>
    <x v="1"/>
    <x v="5"/>
    <x v="0"/>
    <x v="0"/>
    <x v="0"/>
    <x v="1"/>
    <x v="0"/>
    <n v="0"/>
    <n v="0"/>
    <n v="6.6180000000000003"/>
    <n v="6.6180000000000003"/>
    <n v="6.6180000000000003"/>
    <n v="6.6180000000000003"/>
    <n v="18"/>
    <x v="0"/>
    <n v="0"/>
    <n v="0"/>
    <n v="55"/>
    <n v="6"/>
    <n v="0"/>
    <n v="823.74"/>
    <n v="201.73"/>
    <m/>
    <n v="1027.267676743804"/>
    <n v="217.52949647748915"/>
    <n v="0"/>
    <n v="5451.5113200000005"/>
    <n v="1335.0491400000001"/>
    <n v="0"/>
    <n v="6798.4574846904952"/>
    <n v="1439.6102076880231"/>
  </r>
  <r>
    <s v="Regular"/>
    <x v="3"/>
    <x v="1"/>
    <x v="5"/>
    <x v="0"/>
    <x v="0"/>
    <x v="0"/>
    <x v="1"/>
    <x v="1"/>
    <n v="0"/>
    <n v="0"/>
    <n v="5.3810000000000002"/>
    <n v="5.3810000000000002"/>
    <n v="5.3810000000000002"/>
    <n v="5.3810000000000002"/>
    <n v="18"/>
    <x v="0"/>
    <n v="0"/>
    <n v="0"/>
    <n v="55"/>
    <n v="6"/>
    <n v="0"/>
    <n v="823.74"/>
    <n v="201.73"/>
    <m/>
    <n v="1027.267676743804"/>
    <n v="217.52949647748915"/>
    <n v="0"/>
    <n v="4432.5449400000007"/>
    <n v="1085.5091299999999"/>
    <n v="0"/>
    <n v="5527.7273685584096"/>
    <n v="1170.5262205453691"/>
  </r>
  <r>
    <s v="Regular"/>
    <x v="3"/>
    <x v="1"/>
    <x v="5"/>
    <x v="0"/>
    <x v="0"/>
    <x v="0"/>
    <x v="1"/>
    <x v="2"/>
    <n v="0"/>
    <n v="0"/>
    <n v="4.9690000000000003"/>
    <n v="4.9690000000000003"/>
    <n v="4.9690000000000003"/>
    <n v="4.9690000000000003"/>
    <n v="18"/>
    <x v="0"/>
    <n v="0"/>
    <n v="0"/>
    <n v="55"/>
    <n v="6"/>
    <n v="0"/>
    <n v="823.74"/>
    <n v="201.73"/>
    <m/>
    <n v="1027.267676743804"/>
    <n v="217.52949647748915"/>
    <n v="0"/>
    <n v="4093.1640600000005"/>
    <n v="1002.39637"/>
    <n v="0"/>
    <n v="5104.4930857399622"/>
    <n v="1080.9040679966436"/>
  </r>
  <r>
    <s v="Regular"/>
    <x v="3"/>
    <x v="1"/>
    <x v="5"/>
    <x v="0"/>
    <x v="0"/>
    <x v="0"/>
    <x v="1"/>
    <x v="3"/>
    <n v="0"/>
    <n v="0"/>
    <n v="4.7130000000000001"/>
    <n v="4.7130000000000001"/>
    <n v="4.7130000000000001"/>
    <n v="4.7130000000000001"/>
    <n v="18"/>
    <x v="0"/>
    <n v="0"/>
    <n v="0"/>
    <n v="55"/>
    <n v="6"/>
    <n v="0"/>
    <n v="823.74"/>
    <n v="201.73"/>
    <m/>
    <n v="1027.267676743804"/>
    <n v="217.52949647748915"/>
    <n v="0"/>
    <n v="3882.2866200000003"/>
    <n v="950.75348999999994"/>
    <n v="0"/>
    <n v="4841.5125604935483"/>
    <n v="1025.2165168984063"/>
  </r>
  <r>
    <s v="Regular"/>
    <x v="3"/>
    <x v="1"/>
    <x v="5"/>
    <x v="0"/>
    <x v="0"/>
    <x v="0"/>
    <x v="1"/>
    <x v="4"/>
    <n v="0"/>
    <n v="0"/>
    <n v="5.5209999999999999"/>
    <n v="5.5209999999999999"/>
    <n v="5.5209999999999999"/>
    <n v="5.5209999999999999"/>
    <n v="18"/>
    <x v="0"/>
    <n v="0"/>
    <n v="0"/>
    <n v="55"/>
    <n v="6"/>
    <n v="0"/>
    <n v="823.74"/>
    <n v="201.73"/>
    <m/>
    <n v="1027.267676743804"/>
    <n v="217.52949647748915"/>
    <n v="0"/>
    <n v="4547.8685400000004"/>
    <n v="1113.7513299999998"/>
    <n v="0"/>
    <n v="5671.5448433025422"/>
    <n v="1200.9803500522175"/>
  </r>
  <r>
    <s v="Regular"/>
    <x v="3"/>
    <x v="1"/>
    <x v="5"/>
    <x v="0"/>
    <x v="0"/>
    <x v="0"/>
    <x v="1"/>
    <x v="5"/>
    <n v="0"/>
    <n v="0"/>
    <n v="8.282"/>
    <n v="8.282"/>
    <n v="8.282"/>
    <n v="8.282"/>
    <n v="18"/>
    <x v="0"/>
    <n v="0"/>
    <n v="0"/>
    <n v="55"/>
    <n v="6"/>
    <n v="0"/>
    <n v="823.74"/>
    <n v="201.73"/>
    <m/>
    <n v="1027.267676743804"/>
    <n v="217.52949647748915"/>
    <n v="0"/>
    <n v="6822.21468"/>
    <n v="1670.72786"/>
    <n v="0"/>
    <n v="8507.8308987921846"/>
    <n v="1801.5792898265652"/>
  </r>
  <r>
    <s v="Regular"/>
    <x v="3"/>
    <x v="1"/>
    <x v="5"/>
    <x v="0"/>
    <x v="0"/>
    <x v="0"/>
    <x v="1"/>
    <x v="6"/>
    <n v="0"/>
    <n v="0"/>
    <n v="9.2070000000000007"/>
    <n v="9.2070000000000007"/>
    <n v="9.2070000000000007"/>
    <n v="9.2070000000000007"/>
    <n v="18"/>
    <x v="0"/>
    <n v="0"/>
    <n v="0"/>
    <n v="55"/>
    <n v="6"/>
    <n v="0"/>
    <n v="823.74"/>
    <n v="201.73"/>
    <m/>
    <n v="1027.267676743804"/>
    <n v="217.52949647748915"/>
    <n v="0"/>
    <n v="7584.1741800000009"/>
    <n v="1857.3281100000002"/>
    <n v="0"/>
    <n v="9458.0534997802042"/>
    <n v="2002.7940740682427"/>
  </r>
  <r>
    <s v="Regular"/>
    <x v="3"/>
    <x v="1"/>
    <x v="5"/>
    <x v="0"/>
    <x v="0"/>
    <x v="0"/>
    <x v="1"/>
    <x v="7"/>
    <n v="0"/>
    <n v="0"/>
    <n v="8.4969999999999999"/>
    <n v="8.4969999999999999"/>
    <n v="8.4969999999999999"/>
    <n v="8.4969999999999999"/>
    <n v="18"/>
    <x v="0"/>
    <n v="0"/>
    <n v="0"/>
    <n v="55"/>
    <n v="6"/>
    <n v="0"/>
    <n v="823.74"/>
    <n v="201.73"/>
    <m/>
    <n v="1027.267676743804"/>
    <n v="217.52949647748915"/>
    <n v="0"/>
    <n v="6999.3187799999996"/>
    <n v="1714.0998099999999"/>
    <n v="0"/>
    <n v="8728.6934492921027"/>
    <n v="1848.3481315692252"/>
  </r>
  <r>
    <s v="Regular"/>
    <x v="3"/>
    <x v="1"/>
    <x v="5"/>
    <x v="0"/>
    <x v="0"/>
    <x v="0"/>
    <x v="1"/>
    <x v="8"/>
    <n v="0"/>
    <n v="0"/>
    <n v="9.6300000000000008"/>
    <n v="9.6300000000000008"/>
    <n v="9.6300000000000008"/>
    <n v="9.6300000000000008"/>
    <n v="18"/>
    <x v="0"/>
    <n v="0"/>
    <n v="0"/>
    <n v="55"/>
    <n v="6"/>
    <n v="0"/>
    <n v="823.74"/>
    <n v="201.73"/>
    <m/>
    <n v="1027.267676743804"/>
    <n v="217.52949647748915"/>
    <n v="0"/>
    <n v="7932.6162000000004"/>
    <n v="1942.6599000000001"/>
    <n v="0"/>
    <n v="9892.5877270428336"/>
    <n v="2094.8090510782208"/>
  </r>
  <r>
    <s v="Regular"/>
    <x v="3"/>
    <x v="1"/>
    <x v="5"/>
    <x v="0"/>
    <x v="0"/>
    <x v="0"/>
    <x v="1"/>
    <x v="9"/>
    <n v="0"/>
    <n v="0"/>
    <n v="6.758"/>
    <n v="6.758"/>
    <n v="6.758"/>
    <n v="6.758"/>
    <n v="18"/>
    <x v="0"/>
    <n v="0"/>
    <n v="0"/>
    <n v="55"/>
    <n v="6"/>
    <n v="0"/>
    <n v="823.74"/>
    <n v="201.73"/>
    <m/>
    <n v="1027.267676743804"/>
    <n v="217.52949647748915"/>
    <n v="0"/>
    <n v="5566.8349200000002"/>
    <n v="1363.29134"/>
    <n v="0"/>
    <n v="6942.2749594346278"/>
    <n v="1470.0643371948718"/>
  </r>
  <r>
    <s v="Regular"/>
    <x v="3"/>
    <x v="1"/>
    <x v="5"/>
    <x v="0"/>
    <x v="0"/>
    <x v="0"/>
    <x v="1"/>
    <x v="10"/>
    <n v="0"/>
    <n v="0"/>
    <n v="9.9280000000000008"/>
    <n v="9.9280000000000008"/>
    <n v="9.9280000000000008"/>
    <n v="9.9280000000000008"/>
    <n v="18"/>
    <x v="0"/>
    <n v="0"/>
    <n v="0"/>
    <n v="55"/>
    <n v="6"/>
    <n v="0"/>
    <n v="823.74"/>
    <n v="201.73"/>
    <m/>
    <n v="1027.267676743804"/>
    <n v="217.52949647748915"/>
    <n v="0"/>
    <n v="8178.0907200000011"/>
    <n v="2002.7754400000001"/>
    <n v="0"/>
    <n v="10198.713494712487"/>
    <n v="2159.6328410285123"/>
  </r>
  <r>
    <s v="Regular"/>
    <x v="3"/>
    <x v="1"/>
    <x v="5"/>
    <x v="0"/>
    <x v="0"/>
    <x v="0"/>
    <x v="1"/>
    <x v="11"/>
    <n v="0"/>
    <n v="0"/>
    <n v="11.946999999999999"/>
    <n v="11.946999999999999"/>
    <n v="11.946999999999999"/>
    <n v="11.946999999999999"/>
    <n v="18"/>
    <x v="0"/>
    <n v="0"/>
    <n v="0"/>
    <n v="55"/>
    <n v="6"/>
    <n v="0"/>
    <n v="823.74"/>
    <n v="201.73"/>
    <m/>
    <n v="1027.267676743804"/>
    <n v="217.52949647748915"/>
    <n v="0"/>
    <n v="9841.2217799999999"/>
    <n v="2410.0683099999997"/>
    <n v="0"/>
    <n v="12272.766934058225"/>
    <n v="2598.8248944165625"/>
  </r>
  <r>
    <s v="Regular"/>
    <x v="3"/>
    <x v="1"/>
    <x v="6"/>
    <x v="7"/>
    <x v="0"/>
    <x v="0"/>
    <x v="1"/>
    <x v="0"/>
    <n v="0"/>
    <n v="0"/>
    <n v="7.5960000000000001"/>
    <n v="7.1402399999999995"/>
    <n v="7.5960000000000001"/>
    <n v="7.1402399999999995"/>
    <n v="3"/>
    <x v="0"/>
    <n v="0"/>
    <n v="0"/>
    <n v="55"/>
    <n v="6"/>
    <n v="0"/>
    <n v="823.74"/>
    <n v="201.73"/>
    <m/>
    <n v="1027.267676743804"/>
    <n v="217.52949647748915"/>
    <n v="0"/>
    <n v="5881.7012975999996"/>
    <n v="1440.4006151999997"/>
    <n v="0"/>
    <n v="7334.9377561931788"/>
    <n v="1553.2128119284271"/>
  </r>
  <r>
    <s v="Regular"/>
    <x v="3"/>
    <x v="1"/>
    <x v="6"/>
    <x v="7"/>
    <x v="0"/>
    <x v="0"/>
    <x v="1"/>
    <x v="1"/>
    <n v="0"/>
    <n v="0"/>
    <n v="7.8360000000000003"/>
    <n v="7.3658399999999995"/>
    <n v="7.8360000000000003"/>
    <n v="7.3658399999999995"/>
    <n v="3"/>
    <x v="0"/>
    <n v="0"/>
    <n v="0"/>
    <n v="55"/>
    <n v="6"/>
    <n v="0"/>
    <n v="823.74"/>
    <n v="201.73"/>
    <m/>
    <n v="1027.267676743804"/>
    <n v="217.52949647748915"/>
    <n v="0"/>
    <n v="6067.5370415999996"/>
    <n v="1485.9109031999999"/>
    <n v="0"/>
    <n v="7566.6893440665808"/>
    <n v="1602.2874663337486"/>
  </r>
  <r>
    <s v="Regular"/>
    <x v="3"/>
    <x v="1"/>
    <x v="6"/>
    <x v="7"/>
    <x v="0"/>
    <x v="0"/>
    <x v="1"/>
    <x v="2"/>
    <n v="0"/>
    <n v="0"/>
    <n v="8.2249999999999996"/>
    <n v="7.7314999999999996"/>
    <n v="8.2249999999999996"/>
    <n v="7.7314999999999996"/>
    <n v="3"/>
    <x v="0"/>
    <n v="0"/>
    <n v="0"/>
    <n v="55"/>
    <n v="6"/>
    <n v="0"/>
    <n v="823.74"/>
    <n v="201.73"/>
    <m/>
    <n v="1027.267676743804"/>
    <n v="217.52949647748915"/>
    <n v="0"/>
    <n v="6368.7458099999994"/>
    <n v="1559.6754949999997"/>
    <n v="0"/>
    <n v="7942.32004274472"/>
    <n v="1681.8293020157073"/>
  </r>
  <r>
    <s v="Regular"/>
    <x v="3"/>
    <x v="1"/>
    <x v="6"/>
    <x v="7"/>
    <x v="0"/>
    <x v="0"/>
    <x v="1"/>
    <x v="3"/>
    <n v="0"/>
    <n v="0"/>
    <n v="8.1340000000000003"/>
    <n v="7.6459599999999996"/>
    <n v="8.1340000000000003"/>
    <n v="7.6459599999999996"/>
    <n v="3"/>
    <x v="0"/>
    <n v="0"/>
    <n v="0"/>
    <n v="55"/>
    <n v="6"/>
    <n v="0"/>
    <n v="823.74"/>
    <n v="201.73"/>
    <m/>
    <n v="1027.267676743804"/>
    <n v="217.52949647748915"/>
    <n v="0"/>
    <n v="6298.2830904000002"/>
    <n v="1542.4195107999999"/>
    <n v="0"/>
    <n v="7854.4475656760551"/>
    <n v="1663.2218288870229"/>
  </r>
  <r>
    <s v="Regular"/>
    <x v="3"/>
    <x v="1"/>
    <x v="6"/>
    <x v="7"/>
    <x v="0"/>
    <x v="0"/>
    <x v="1"/>
    <x v="4"/>
    <n v="0"/>
    <n v="0"/>
    <n v="9.1270000000000007"/>
    <n v="8.5793800000000005"/>
    <n v="9.1270000000000007"/>
    <n v="8.5793800000000005"/>
    <n v="3"/>
    <x v="0"/>
    <n v="0"/>
    <n v="0"/>
    <n v="55"/>
    <n v="6"/>
    <n v="0"/>
    <n v="823.74"/>
    <n v="201.73"/>
    <m/>
    <n v="1027.267676743804"/>
    <n v="217.52949647748915"/>
    <n v="0"/>
    <n v="7067.1784812000005"/>
    <n v="1730.7183273999999"/>
    <n v="0"/>
    <n v="8813.3197605022579"/>
    <n v="1866.2682114890408"/>
  </r>
  <r>
    <s v="Regular"/>
    <x v="3"/>
    <x v="1"/>
    <x v="6"/>
    <x v="7"/>
    <x v="0"/>
    <x v="0"/>
    <x v="1"/>
    <x v="5"/>
    <n v="0"/>
    <n v="0"/>
    <n v="8.516"/>
    <n v="8.0050399999999993"/>
    <n v="8.516"/>
    <n v="8.0050399999999993"/>
    <n v="3"/>
    <x v="0"/>
    <n v="0"/>
    <n v="0"/>
    <n v="55"/>
    <n v="6"/>
    <n v="0"/>
    <n v="823.74"/>
    <n v="201.73"/>
    <m/>
    <n v="1027.267676743804"/>
    <n v="217.52949647748915"/>
    <n v="0"/>
    <n v="6594.0716495999995"/>
    <n v="1614.8567191999998"/>
    <n v="0"/>
    <n v="8223.318843041221"/>
    <n v="1741.3323204821595"/>
  </r>
  <r>
    <s v="Regular"/>
    <x v="3"/>
    <x v="1"/>
    <x v="6"/>
    <x v="7"/>
    <x v="0"/>
    <x v="0"/>
    <x v="1"/>
    <x v="6"/>
    <n v="0"/>
    <n v="0"/>
    <n v="8.0039999999999996"/>
    <n v="7.5237600000000002"/>
    <n v="8.0039999999999996"/>
    <n v="7.5237600000000002"/>
    <n v="3"/>
    <x v="0"/>
    <n v="0"/>
    <n v="0"/>
    <n v="55"/>
    <n v="6"/>
    <n v="0"/>
    <n v="823.74"/>
    <n v="201.73"/>
    <m/>
    <n v="1027.267676743804"/>
    <n v="217.52949647748915"/>
    <n v="0"/>
    <n v="6197.6220624000007"/>
    <n v="1517.7681047999999"/>
    <n v="0"/>
    <n v="7728.9154555779633"/>
    <n v="1636.6397244174739"/>
  </r>
  <r>
    <s v="Regular"/>
    <x v="3"/>
    <x v="1"/>
    <x v="6"/>
    <x v="7"/>
    <x v="0"/>
    <x v="0"/>
    <x v="1"/>
    <x v="7"/>
    <n v="0"/>
    <n v="0"/>
    <n v="6.9169999999999998"/>
    <n v="6.5019799999999996"/>
    <n v="6.9169999999999998"/>
    <n v="6.5019799999999996"/>
    <n v="3"/>
    <x v="0"/>
    <n v="0"/>
    <n v="0"/>
    <n v="55"/>
    <n v="6"/>
    <n v="0"/>
    <n v="823.74"/>
    <n v="201.73"/>
    <m/>
    <n v="1027.267676743804"/>
    <n v="217.52949647748915"/>
    <n v="0"/>
    <n v="5355.9410051999994"/>
    <n v="1311.6444253999998"/>
    <n v="0"/>
    <n v="6679.2738888346785"/>
    <n v="1414.3724355067047"/>
  </r>
  <r>
    <s v="Regular"/>
    <x v="3"/>
    <x v="1"/>
    <x v="6"/>
    <x v="7"/>
    <x v="0"/>
    <x v="0"/>
    <x v="1"/>
    <x v="8"/>
    <n v="0"/>
    <n v="0"/>
    <n v="6.3120000000000003"/>
    <n v="5.9332799999999999"/>
    <n v="6.3120000000000003"/>
    <n v="5.9332799999999999"/>
    <n v="3"/>
    <x v="0"/>
    <n v="0"/>
    <n v="0"/>
    <n v="55"/>
    <n v="6"/>
    <n v="0"/>
    <n v="823.74"/>
    <n v="201.73"/>
    <m/>
    <n v="1027.267676743804"/>
    <n v="217.52949647748915"/>
    <n v="0"/>
    <n v="4887.4800672000001"/>
    <n v="1196.9205743999999"/>
    <n v="0"/>
    <n v="6095.0667610704777"/>
    <n v="1290.6634108599567"/>
  </r>
  <r>
    <s v="Regular"/>
    <x v="3"/>
    <x v="1"/>
    <x v="6"/>
    <x v="7"/>
    <x v="0"/>
    <x v="0"/>
    <x v="1"/>
    <x v="9"/>
    <n v="0"/>
    <n v="0"/>
    <n v="7.1479999999999997"/>
    <n v="6.7191200000000002"/>
    <n v="7.1479999999999997"/>
    <n v="6.7191200000000002"/>
    <n v="3"/>
    <x v="0"/>
    <n v="0"/>
    <n v="0"/>
    <n v="55"/>
    <n v="6"/>
    <n v="0"/>
    <n v="823.74"/>
    <n v="201.73"/>
    <m/>
    <n v="1027.267676743804"/>
    <n v="217.52949647748915"/>
    <n v="0"/>
    <n v="5534.8079088000004"/>
    <n v="1355.4480776"/>
    <n v="0"/>
    <n v="6902.3347921628283"/>
    <n v="1461.6067903718269"/>
  </r>
  <r>
    <s v="Regular"/>
    <x v="3"/>
    <x v="1"/>
    <x v="6"/>
    <x v="7"/>
    <x v="0"/>
    <x v="0"/>
    <x v="1"/>
    <x v="10"/>
    <n v="0"/>
    <n v="0"/>
    <n v="6.2770000000000001"/>
    <n v="5.9003800000000002"/>
    <n v="6.2770000000000001"/>
    <n v="5.9003800000000002"/>
    <n v="3"/>
    <x v="0"/>
    <n v="0"/>
    <n v="0"/>
    <n v="55"/>
    <n v="6"/>
    <n v="0"/>
    <n v="823.74"/>
    <n v="201.73"/>
    <m/>
    <n v="1027.267676743804"/>
    <n v="217.52949647748915"/>
    <n v="0"/>
    <n v="4860.3790212000004"/>
    <n v="1190.2836574"/>
    <n v="0"/>
    <n v="6061.2696545056069"/>
    <n v="1283.5066904258474"/>
  </r>
  <r>
    <s v="Regular"/>
    <x v="3"/>
    <x v="1"/>
    <x v="6"/>
    <x v="7"/>
    <x v="0"/>
    <x v="0"/>
    <x v="1"/>
    <x v="11"/>
    <n v="0"/>
    <n v="0"/>
    <n v="5.8730000000000002"/>
    <n v="5.5206200000000001"/>
    <n v="5.8730000000000002"/>
    <n v="5.5206200000000001"/>
    <n v="3"/>
    <x v="0"/>
    <n v="0"/>
    <n v="0"/>
    <n v="55"/>
    <n v="6"/>
    <n v="0"/>
    <n v="823.74"/>
    <n v="201.73"/>
    <m/>
    <n v="1027.267676743804"/>
    <n v="217.52949647748915"/>
    <n v="0"/>
    <n v="4547.5555187999998"/>
    <n v="1113.6746725999999"/>
    <n v="0"/>
    <n v="5671.1544815853795"/>
    <n v="1200.8976888435561"/>
  </r>
  <r>
    <s v="Regular"/>
    <x v="4"/>
    <x v="1"/>
    <x v="7"/>
    <x v="8"/>
    <x v="0"/>
    <x v="0"/>
    <x v="1"/>
    <x v="0"/>
    <n v="0"/>
    <n v="0"/>
    <n v="59.307000000000002"/>
    <n v="59.307000000000002"/>
    <n v="59.307000000000002"/>
    <n v="59.307000000000002"/>
    <n v="4"/>
    <x v="0"/>
    <n v="0"/>
    <n v="0"/>
    <n v="51"/>
    <n v="2"/>
    <n v="0"/>
    <n v="436.58"/>
    <n v="106.92"/>
    <m/>
    <n v="564.99722220909234"/>
    <n v="115.29063313306926"/>
    <n v="0"/>
    <n v="25892.250059999998"/>
    <n v="6341.1044400000001"/>
    <n v="0"/>
    <n v="33508.29025755464"/>
    <n v="6837.5415792229387"/>
  </r>
  <r>
    <s v="Regular"/>
    <x v="4"/>
    <x v="1"/>
    <x v="7"/>
    <x v="8"/>
    <x v="0"/>
    <x v="0"/>
    <x v="1"/>
    <x v="1"/>
    <n v="0"/>
    <n v="0"/>
    <n v="58.252000000000002"/>
    <n v="58.252000000000002"/>
    <n v="58.252000000000002"/>
    <n v="58.252000000000002"/>
    <n v="4"/>
    <x v="0"/>
    <n v="0"/>
    <n v="0"/>
    <n v="51"/>
    <n v="2"/>
    <n v="0"/>
    <n v="436.58"/>
    <n v="106.92"/>
    <m/>
    <n v="564.99722220909234"/>
    <n v="115.29063313306926"/>
    <n v="0"/>
    <n v="25431.658159999999"/>
    <n v="6228.3038400000005"/>
    <n v="0"/>
    <n v="32912.218188124047"/>
    <n v="6715.9099612675509"/>
  </r>
  <r>
    <s v="Regular"/>
    <x v="4"/>
    <x v="1"/>
    <x v="7"/>
    <x v="8"/>
    <x v="0"/>
    <x v="0"/>
    <x v="1"/>
    <x v="2"/>
    <n v="0"/>
    <n v="0"/>
    <n v="56.93"/>
    <n v="56.93"/>
    <n v="56.93"/>
    <n v="56.93"/>
    <n v="4"/>
    <x v="0"/>
    <n v="0"/>
    <n v="0"/>
    <n v="51"/>
    <n v="2"/>
    <n v="0"/>
    <n v="436.58"/>
    <n v="106.92"/>
    <m/>
    <n v="564.99722220909234"/>
    <n v="115.29063313306926"/>
    <n v="0"/>
    <n v="24854.499400000001"/>
    <n v="6086.9556000000002"/>
    <n v="0"/>
    <n v="32165.291860363628"/>
    <n v="6563.4957442656332"/>
  </r>
  <r>
    <s v="Regular"/>
    <x v="4"/>
    <x v="1"/>
    <x v="7"/>
    <x v="8"/>
    <x v="0"/>
    <x v="0"/>
    <x v="1"/>
    <x v="3"/>
    <n v="0"/>
    <n v="0"/>
    <n v="58.279000000000003"/>
    <n v="58.279000000000003"/>
    <n v="58.279000000000003"/>
    <n v="58.279000000000003"/>
    <n v="4"/>
    <x v="0"/>
    <n v="0"/>
    <n v="0"/>
    <n v="51"/>
    <n v="2"/>
    <n v="0"/>
    <n v="436.58"/>
    <n v="106.92"/>
    <m/>
    <n v="564.99722220909234"/>
    <n v="115.29063313306926"/>
    <n v="0"/>
    <n v="25443.445820000001"/>
    <n v="6231.1906800000006"/>
    <n v="0"/>
    <n v="32927.473113123691"/>
    <n v="6719.0228083621441"/>
  </r>
  <r>
    <s v="Regular"/>
    <x v="4"/>
    <x v="1"/>
    <x v="7"/>
    <x v="8"/>
    <x v="0"/>
    <x v="0"/>
    <x v="1"/>
    <x v="4"/>
    <n v="0"/>
    <n v="0"/>
    <n v="56.210999999999999"/>
    <n v="56.210999999999999"/>
    <n v="56.210999999999999"/>
    <n v="56.210999999999999"/>
    <n v="4"/>
    <x v="0"/>
    <n v="0"/>
    <n v="0"/>
    <n v="51"/>
    <n v="2"/>
    <n v="0"/>
    <n v="436.58"/>
    <n v="106.92"/>
    <m/>
    <n v="564.99722220909234"/>
    <n v="115.29063313306926"/>
    <n v="0"/>
    <n v="24540.598379999999"/>
    <n v="6010.0801199999996"/>
    <n v="0"/>
    <n v="31759.05885759529"/>
    <n v="6480.601779042956"/>
  </r>
  <r>
    <s v="Regular"/>
    <x v="4"/>
    <x v="1"/>
    <x v="7"/>
    <x v="8"/>
    <x v="0"/>
    <x v="0"/>
    <x v="1"/>
    <x v="5"/>
    <n v="0"/>
    <n v="0"/>
    <n v="51.582000000000001"/>
    <n v="51.582000000000001"/>
    <n v="51.582000000000001"/>
    <n v="51.582000000000001"/>
    <n v="4"/>
    <x v="0"/>
    <n v="0"/>
    <n v="0"/>
    <n v="51"/>
    <n v="2"/>
    <n v="0"/>
    <n v="436.58"/>
    <n v="106.92"/>
    <m/>
    <n v="564.99722220909234"/>
    <n v="115.29063313306926"/>
    <n v="0"/>
    <n v="22519.669559999998"/>
    <n v="5515.1474399999997"/>
    <n v="0"/>
    <n v="29143.686715989403"/>
    <n v="5946.9214382699793"/>
  </r>
  <r>
    <s v="Regular"/>
    <x v="4"/>
    <x v="1"/>
    <x v="7"/>
    <x v="8"/>
    <x v="0"/>
    <x v="0"/>
    <x v="1"/>
    <x v="6"/>
    <n v="0"/>
    <n v="0"/>
    <n v="51.317999999999998"/>
    <n v="51.317999999999998"/>
    <n v="51.317999999999998"/>
    <n v="51.317999999999998"/>
    <n v="4"/>
    <x v="0"/>
    <n v="0"/>
    <n v="0"/>
    <n v="51"/>
    <n v="2"/>
    <n v="0"/>
    <n v="436.58"/>
    <n v="106.92"/>
    <m/>
    <n v="564.99722220909234"/>
    <n v="115.29063313306926"/>
    <n v="0"/>
    <n v="22404.412439999996"/>
    <n v="5486.9205599999996"/>
    <n v="0"/>
    <n v="28994.5274493262"/>
    <n v="5916.4847111228482"/>
  </r>
  <r>
    <s v="Regular"/>
    <x v="4"/>
    <x v="1"/>
    <x v="7"/>
    <x v="8"/>
    <x v="0"/>
    <x v="0"/>
    <x v="1"/>
    <x v="7"/>
    <n v="0"/>
    <n v="0"/>
    <n v="52.271999999999998"/>
    <n v="52.271999999999998"/>
    <n v="52.271999999999998"/>
    <n v="52.271999999999998"/>
    <n v="4"/>
    <x v="0"/>
    <n v="0"/>
    <n v="0"/>
    <n v="51"/>
    <n v="2"/>
    <n v="0"/>
    <n v="436.58"/>
    <n v="106.92"/>
    <m/>
    <n v="564.99722220909234"/>
    <n v="115.29063313306926"/>
    <n v="0"/>
    <n v="22820.909759999999"/>
    <n v="5588.9222399999999"/>
    <n v="0"/>
    <n v="29533.534799313675"/>
    <n v="6026.4719751317962"/>
  </r>
  <r>
    <s v="Regular"/>
    <x v="4"/>
    <x v="1"/>
    <x v="7"/>
    <x v="8"/>
    <x v="0"/>
    <x v="0"/>
    <x v="1"/>
    <x v="8"/>
    <n v="0"/>
    <n v="0"/>
    <n v="58.875999999999998"/>
    <n v="58.875999999999998"/>
    <n v="58.875999999999998"/>
    <n v="58.875999999999998"/>
    <n v="4"/>
    <x v="0"/>
    <n v="0"/>
    <n v="0"/>
    <n v="51"/>
    <n v="2"/>
    <n v="0"/>
    <n v="436.58"/>
    <n v="106.92"/>
    <m/>
    <n v="564.99722220909234"/>
    <n v="115.29063313306926"/>
    <n v="0"/>
    <n v="25704.084079999997"/>
    <n v="6295.0219200000001"/>
    <n v="0"/>
    <n v="33264.776454782521"/>
    <n v="6787.851316342586"/>
  </r>
  <r>
    <s v="Regular"/>
    <x v="4"/>
    <x v="1"/>
    <x v="7"/>
    <x v="8"/>
    <x v="0"/>
    <x v="0"/>
    <x v="1"/>
    <x v="9"/>
    <n v="0"/>
    <n v="0"/>
    <n v="53.69"/>
    <n v="53.69"/>
    <n v="53.69"/>
    <n v="53.69"/>
    <n v="4"/>
    <x v="0"/>
    <n v="0"/>
    <n v="0"/>
    <n v="51"/>
    <n v="2"/>
    <n v="0"/>
    <n v="436.58"/>
    <n v="106.92"/>
    <m/>
    <n v="564.99722220909234"/>
    <n v="115.29063313306926"/>
    <n v="0"/>
    <n v="23439.980199999998"/>
    <n v="5740.5347999999994"/>
    <n v="0"/>
    <n v="30334.700860406167"/>
    <n v="6189.9540929144887"/>
  </r>
  <r>
    <s v="Regular"/>
    <x v="4"/>
    <x v="1"/>
    <x v="7"/>
    <x v="8"/>
    <x v="0"/>
    <x v="0"/>
    <x v="1"/>
    <x v="10"/>
    <n v="0"/>
    <n v="0"/>
    <n v="50.51"/>
    <n v="50.51"/>
    <n v="50.51"/>
    <n v="50.51"/>
    <n v="4"/>
    <x v="0"/>
    <n v="0"/>
    <n v="0"/>
    <n v="51"/>
    <n v="2"/>
    <n v="0"/>
    <n v="436.58"/>
    <n v="106.92"/>
    <m/>
    <n v="564.99722220909234"/>
    <n v="115.29063313306926"/>
    <n v="0"/>
    <n v="22051.655799999997"/>
    <n v="5400.5291999999999"/>
    <n v="0"/>
    <n v="28538.009693781252"/>
    <n v="5823.3298795513283"/>
  </r>
  <r>
    <s v="Regular"/>
    <x v="4"/>
    <x v="1"/>
    <x v="7"/>
    <x v="8"/>
    <x v="0"/>
    <x v="0"/>
    <x v="1"/>
    <x v="11"/>
    <n v="0"/>
    <n v="0"/>
    <n v="58.673999999999999"/>
    <n v="58.673999999999999"/>
    <n v="58.673999999999999"/>
    <n v="58.673999999999999"/>
    <n v="4"/>
    <x v="0"/>
    <n v="0"/>
    <n v="0"/>
    <n v="51"/>
    <n v="2"/>
    <n v="0"/>
    <n v="436.58"/>
    <n v="106.92"/>
    <m/>
    <n v="564.99722220909234"/>
    <n v="115.29063313306926"/>
    <n v="0"/>
    <n v="25615.894919999999"/>
    <n v="6273.4240799999998"/>
    <n v="0"/>
    <n v="33150.647015896284"/>
    <n v="6764.56260844970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Regular"/>
    <x v="0"/>
    <x v="0"/>
    <x v="0"/>
    <x v="0"/>
    <x v="0"/>
    <x v="0"/>
    <x v="0"/>
    <x v="0"/>
    <n v="0"/>
    <n v="0"/>
    <n v="25.411000000000001"/>
    <n v="24.394560000000002"/>
    <n v="25.411000000000001"/>
    <n v="24.394560000000002"/>
    <n v="0"/>
    <s v="CATIVO"/>
    <n v="0"/>
    <n v="0"/>
    <n v="84"/>
    <n v="34"/>
    <n v="0"/>
    <n v="123.21"/>
    <n v="201.73"/>
    <m/>
    <n v="131.63353347659393"/>
    <n v="217.52949647748915"/>
    <n v="0"/>
    <n v="330.2820135999998"/>
    <n v="0"/>
    <n v="354.90327016652793"/>
    <x v="0"/>
  </r>
  <r>
    <s v="Regular"/>
    <x v="0"/>
    <x v="0"/>
    <x v="0"/>
    <x v="0"/>
    <x v="0"/>
    <x v="0"/>
    <x v="0"/>
    <x v="1"/>
    <n v="0"/>
    <n v="0"/>
    <n v="21.896000000000001"/>
    <n v="21.020160000000001"/>
    <n v="21.896000000000001"/>
    <n v="21.020160000000001"/>
    <n v="0"/>
    <s v="CATIVO"/>
    <n v="0"/>
    <n v="0"/>
    <n v="84"/>
    <n v="34"/>
    <n v="0"/>
    <n v="123.21"/>
    <n v="201.73"/>
    <m/>
    <n v="131.63353347659393"/>
    <n v="217.52949647748915"/>
    <n v="0"/>
    <n v="284.59544960000005"/>
    <n v="0"/>
    <n v="305.8109481549842"/>
    <x v="0"/>
  </r>
  <r>
    <s v="Regular"/>
    <x v="0"/>
    <x v="0"/>
    <x v="0"/>
    <x v="0"/>
    <x v="0"/>
    <x v="0"/>
    <x v="0"/>
    <x v="2"/>
    <n v="0"/>
    <n v="0"/>
    <n v="20.742999999999999"/>
    <n v="19.91328"/>
    <n v="20.742999999999999"/>
    <n v="19.91328"/>
    <n v="0"/>
    <s v="CATIVO"/>
    <n v="0"/>
    <n v="0"/>
    <n v="84"/>
    <n v="34"/>
    <n v="0"/>
    <n v="123.21"/>
    <n v="201.73"/>
    <m/>
    <n v="131.63353347659393"/>
    <n v="217.52949647748915"/>
    <n v="0"/>
    <n v="269.60921679999944"/>
    <n v="0"/>
    <n v="289.70754921350118"/>
    <x v="0"/>
  </r>
  <r>
    <s v="Regular"/>
    <x v="0"/>
    <x v="0"/>
    <x v="0"/>
    <x v="0"/>
    <x v="0"/>
    <x v="0"/>
    <x v="0"/>
    <x v="3"/>
    <n v="0"/>
    <n v="0"/>
    <n v="18.995000000000001"/>
    <n v="18.235199999999999"/>
    <n v="18.995000000000001"/>
    <n v="18.235199999999999"/>
    <n v="0"/>
    <s v="CATIVO"/>
    <n v="0"/>
    <n v="0"/>
    <n v="84"/>
    <n v="34"/>
    <n v="0"/>
    <n v="123.21"/>
    <n v="201.73"/>
    <m/>
    <n v="131.63353347659393"/>
    <n v="217.52949647748915"/>
    <n v="0"/>
    <n v="246.88941200000062"/>
    <n v="0"/>
    <n v="265.29407015911306"/>
    <x v="0"/>
  </r>
  <r>
    <s v="Regular"/>
    <x v="0"/>
    <x v="0"/>
    <x v="0"/>
    <x v="0"/>
    <x v="0"/>
    <x v="0"/>
    <x v="0"/>
    <x v="4"/>
    <n v="0"/>
    <n v="0"/>
    <n v="19.219000000000001"/>
    <n v="18.450240000000001"/>
    <n v="19.219000000000001"/>
    <n v="18.450240000000001"/>
    <n v="0"/>
    <s v="CATIVO"/>
    <n v="0"/>
    <n v="0"/>
    <n v="84"/>
    <n v="34"/>
    <n v="0"/>
    <n v="123.21"/>
    <n v="201.73"/>
    <m/>
    <n v="131.63353347659393"/>
    <n v="217.52949647748915"/>
    <n v="0"/>
    <n v="249.80087440000011"/>
    <n v="0"/>
    <n v="268.42257090750104"/>
    <x v="0"/>
  </r>
  <r>
    <s v="Regular"/>
    <x v="0"/>
    <x v="0"/>
    <x v="0"/>
    <x v="0"/>
    <x v="0"/>
    <x v="0"/>
    <x v="0"/>
    <x v="5"/>
    <n v="0"/>
    <n v="0"/>
    <n v="20.25"/>
    <n v="19.440000000000001"/>
    <n v="20.25"/>
    <n v="19.440000000000001"/>
    <n v="0"/>
    <s v="CATIVO"/>
    <n v="0"/>
    <n v="0"/>
    <n v="84"/>
    <n v="34"/>
    <n v="0"/>
    <n v="123.21"/>
    <n v="201.73"/>
    <m/>
    <n v="131.63353347659393"/>
    <n v="217.52949647748915"/>
    <n v="0"/>
    <n v="263.20139999999958"/>
    <n v="0"/>
    <n v="282.82205426280683"/>
    <x v="0"/>
  </r>
  <r>
    <s v="Regular"/>
    <x v="0"/>
    <x v="0"/>
    <x v="0"/>
    <x v="0"/>
    <x v="0"/>
    <x v="0"/>
    <x v="0"/>
    <x v="6"/>
    <n v="0"/>
    <n v="0"/>
    <n v="21.521000000000001"/>
    <n v="20.660160000000001"/>
    <n v="21.521000000000001"/>
    <n v="20.660160000000001"/>
    <n v="0"/>
    <s v="CATIVO"/>
    <n v="0"/>
    <n v="0"/>
    <n v="84"/>
    <n v="34"/>
    <n v="0"/>
    <n v="123.21"/>
    <n v="201.73"/>
    <m/>
    <n v="131.63353347659393"/>
    <n v="217.52949647748915"/>
    <n v="0"/>
    <n v="279.72134959999983"/>
    <n v="0"/>
    <n v="300.57350270567275"/>
    <x v="0"/>
  </r>
  <r>
    <s v="Regular"/>
    <x v="0"/>
    <x v="0"/>
    <x v="0"/>
    <x v="0"/>
    <x v="0"/>
    <x v="0"/>
    <x v="0"/>
    <x v="7"/>
    <n v="0"/>
    <n v="0"/>
    <n v="23.323"/>
    <n v="22.390080000000001"/>
    <n v="23.323"/>
    <n v="22.390080000000001"/>
    <n v="0"/>
    <s v="CATIVO"/>
    <n v="0"/>
    <n v="0"/>
    <n v="84"/>
    <n v="34"/>
    <n v="0"/>
    <n v="123.21"/>
    <n v="201.73"/>
    <m/>
    <n v="131.63353347659393"/>
    <n v="217.52949647748915"/>
    <n v="0"/>
    <n v="303.14302479999975"/>
    <n v="0"/>
    <n v="325.74117390476295"/>
    <x v="0"/>
  </r>
  <r>
    <s v="Regular"/>
    <x v="0"/>
    <x v="0"/>
    <x v="0"/>
    <x v="0"/>
    <x v="0"/>
    <x v="0"/>
    <x v="1"/>
    <x v="0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1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2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3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4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5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6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1"/>
    <x v="7"/>
    <n v="125"/>
    <n v="120"/>
    <n v="0"/>
    <n v="0"/>
    <n v="0"/>
    <n v="0"/>
    <n v="1"/>
    <s v="CATIVO"/>
    <n v="0"/>
    <n v="80"/>
    <n v="0"/>
    <n v="0"/>
    <n v="53.08"/>
    <n v="0"/>
    <n v="0"/>
    <n v="67.884943103319998"/>
    <m/>
    <m/>
    <n v="265.39999999999998"/>
    <n v="0"/>
    <n v="339.42471551659997"/>
    <n v="0"/>
    <x v="0"/>
  </r>
  <r>
    <s v="Regular"/>
    <x v="0"/>
    <x v="0"/>
    <x v="0"/>
    <x v="0"/>
    <x v="0"/>
    <x v="0"/>
    <x v="2"/>
    <x v="0"/>
    <n v="0"/>
    <n v="0"/>
    <n v="0.378"/>
    <n v="0.36287999999999998"/>
    <n v="0.378"/>
    <n v="0.36287999999999998"/>
    <n v="0"/>
    <s v="CATIVO"/>
    <n v="0"/>
    <n v="0"/>
    <n v="83"/>
    <n v="53"/>
    <n v="0"/>
    <n v="3711.27"/>
    <n v="201.73"/>
    <m/>
    <n v="4778.3789462963377"/>
    <n v="217.52949647748915"/>
    <n v="0"/>
    <n v="59.164560000000087"/>
    <n v="0"/>
    <n v="75.538135654740373"/>
    <x v="0"/>
  </r>
  <r>
    <s v="Regular"/>
    <x v="0"/>
    <x v="0"/>
    <x v="0"/>
    <x v="0"/>
    <x v="0"/>
    <x v="0"/>
    <x v="2"/>
    <x v="1"/>
    <n v="0"/>
    <n v="0"/>
    <n v="0.38900000000000001"/>
    <n v="0.37343999999999999"/>
    <n v="0.38900000000000001"/>
    <n v="0.37343999999999999"/>
    <n v="0"/>
    <s v="CATIVO"/>
    <n v="0"/>
    <n v="0"/>
    <n v="83"/>
    <n v="53"/>
    <n v="0"/>
    <n v="3711.27"/>
    <n v="201.73"/>
    <m/>
    <n v="4778.3789462963377"/>
    <n v="217.52949647748915"/>
    <n v="0"/>
    <n v="60.88628000000007"/>
    <n v="0"/>
    <n v="77.736335369560834"/>
    <x v="0"/>
  </r>
  <r>
    <s v="Regular"/>
    <x v="0"/>
    <x v="0"/>
    <x v="0"/>
    <x v="0"/>
    <x v="0"/>
    <x v="0"/>
    <x v="2"/>
    <x v="2"/>
    <n v="0"/>
    <n v="0"/>
    <n v="0.39800000000000002"/>
    <n v="0.38207999999999998"/>
    <n v="0.39800000000000002"/>
    <n v="0.38207999999999998"/>
    <n v="0"/>
    <s v="CATIVO"/>
    <n v="0"/>
    <n v="0"/>
    <n v="83"/>
    <n v="53"/>
    <n v="0"/>
    <n v="3711.27"/>
    <n v="201.73"/>
    <m/>
    <n v="4778.3789462963377"/>
    <n v="217.52949647748915"/>
    <n v="0"/>
    <n v="62.294960000000181"/>
    <n v="0"/>
    <n v="79.534862408959555"/>
    <x v="0"/>
  </r>
  <r>
    <s v="Regular"/>
    <x v="0"/>
    <x v="0"/>
    <x v="0"/>
    <x v="0"/>
    <x v="0"/>
    <x v="0"/>
    <x v="2"/>
    <x v="3"/>
    <n v="0"/>
    <n v="0"/>
    <n v="0.501"/>
    <n v="0.48096"/>
    <n v="0.501"/>
    <n v="0.48096"/>
    <n v="0"/>
    <s v="CATIVO"/>
    <n v="0"/>
    <n v="0"/>
    <n v="83"/>
    <n v="53"/>
    <n v="0"/>
    <n v="3711.27"/>
    <n v="201.73"/>
    <m/>
    <n v="4778.3789462963377"/>
    <n v="217.52949647748915"/>
    <n v="0"/>
    <n v="78.41652000000002"/>
    <n v="0"/>
    <n v="100.1180051931875"/>
    <x v="0"/>
  </r>
  <r>
    <s v="Regular"/>
    <x v="0"/>
    <x v="0"/>
    <x v="0"/>
    <x v="0"/>
    <x v="0"/>
    <x v="0"/>
    <x v="2"/>
    <x v="4"/>
    <n v="0"/>
    <n v="0"/>
    <n v="0.30099999999999999"/>
    <n v="0.28895999999999999"/>
    <n v="0.30099999999999999"/>
    <n v="0.28895999999999999"/>
    <n v="0"/>
    <s v="CATIVO"/>
    <n v="0"/>
    <n v="0"/>
    <n v="83"/>
    <n v="53"/>
    <n v="0"/>
    <n v="3711.27"/>
    <n v="201.73"/>
    <m/>
    <n v="4778.3789462963377"/>
    <n v="217.52949647748915"/>
    <n v="0"/>
    <n v="47.112519999999975"/>
    <n v="0"/>
    <n v="60.150737650996845"/>
    <x v="0"/>
  </r>
  <r>
    <s v="Regular"/>
    <x v="0"/>
    <x v="0"/>
    <x v="0"/>
    <x v="0"/>
    <x v="0"/>
    <x v="0"/>
    <x v="2"/>
    <x v="5"/>
    <n v="0"/>
    <n v="0"/>
    <n v="0.27100000000000002"/>
    <n v="0.26016"/>
    <n v="0.27100000000000002"/>
    <n v="0.26016"/>
    <n v="0"/>
    <s v="CATIVO"/>
    <n v="0"/>
    <n v="0"/>
    <n v="83"/>
    <n v="53"/>
    <n v="0"/>
    <n v="3711.27"/>
    <n v="201.73"/>
    <m/>
    <n v="4778.3789462963377"/>
    <n v="217.52949647748915"/>
    <n v="0"/>
    <n v="42.416920000000069"/>
    <n v="0"/>
    <n v="54.155647519668364"/>
    <x v="0"/>
  </r>
  <r>
    <s v="Regular"/>
    <x v="0"/>
    <x v="0"/>
    <x v="0"/>
    <x v="0"/>
    <x v="0"/>
    <x v="0"/>
    <x v="2"/>
    <x v="6"/>
    <n v="0"/>
    <n v="0"/>
    <n v="0.32100000000000001"/>
    <n v="0.30815999999999999"/>
    <n v="0.32100000000000001"/>
    <n v="0.30815999999999999"/>
    <n v="0"/>
    <s v="CATIVO"/>
    <n v="0"/>
    <n v="0"/>
    <n v="83"/>
    <n v="53"/>
    <n v="0"/>
    <n v="3711.27"/>
    <n v="201.73"/>
    <m/>
    <n v="4778.3789462963377"/>
    <n v="217.52949647748915"/>
    <n v="0"/>
    <n v="50.242920000000069"/>
    <n v="0"/>
    <n v="64.147464405216027"/>
    <x v="0"/>
  </r>
  <r>
    <s v="Regular"/>
    <x v="0"/>
    <x v="0"/>
    <x v="0"/>
    <x v="0"/>
    <x v="0"/>
    <x v="0"/>
    <x v="2"/>
    <x v="7"/>
    <n v="0"/>
    <n v="0"/>
    <n v="0.34"/>
    <n v="0.32640000000000002"/>
    <n v="0.34"/>
    <n v="0.32640000000000002"/>
    <n v="0"/>
    <s v="CATIVO"/>
    <n v="0"/>
    <n v="0"/>
    <n v="83"/>
    <n v="53"/>
    <n v="0"/>
    <n v="3711.27"/>
    <n v="201.73"/>
    <m/>
    <n v="4778.3789462963377"/>
    <n v="217.52949647748915"/>
    <n v="0"/>
    <n v="53.216799999999999"/>
    <n v="0"/>
    <n v="67.944354821724048"/>
    <x v="0"/>
  </r>
  <r>
    <s v="Regular"/>
    <x v="1"/>
    <x v="1"/>
    <x v="1"/>
    <x v="1"/>
    <x v="0"/>
    <x v="0"/>
    <x v="1"/>
    <x v="0"/>
    <n v="0"/>
    <n v="0"/>
    <n v="726.19200000000001"/>
    <n v="726.19200000000001"/>
    <n v="726.19200000000001"/>
    <n v="726.19200000000001"/>
    <n v="4406"/>
    <s v="CATIVO"/>
    <n v="0"/>
    <n v="0"/>
    <n v="48"/>
    <n v="31"/>
    <n v="0"/>
    <n v="823.74"/>
    <n v="201.73"/>
    <m/>
    <n v="1027.267676743804"/>
    <n v="217.52949647748915"/>
    <n v="0"/>
    <n v="0"/>
    <n v="0"/>
    <n v="0"/>
    <x v="1"/>
  </r>
  <r>
    <s v="Regular"/>
    <x v="1"/>
    <x v="1"/>
    <x v="1"/>
    <x v="2"/>
    <x v="0"/>
    <x v="0"/>
    <x v="1"/>
    <x v="0"/>
    <n v="0"/>
    <n v="0"/>
    <n v="1.89"/>
    <n v="1.89"/>
    <n v="1.89"/>
    <n v="1.89"/>
    <n v="1"/>
    <s v="CATIVO"/>
    <n v="0"/>
    <n v="0"/>
    <n v="44"/>
    <n v="32"/>
    <n v="0"/>
    <n v="245.01"/>
    <n v="70.61"/>
    <m/>
    <n v="310.08158575830328"/>
    <n v="76.135323767121193"/>
    <n v="0"/>
    <n v="1107.8045999999999"/>
    <n v="0"/>
    <n v="1355.6213524342397"/>
    <x v="2"/>
  </r>
  <r>
    <s v="Regular"/>
    <x v="1"/>
    <x v="1"/>
    <x v="1"/>
    <x v="2"/>
    <x v="0"/>
    <x v="0"/>
    <x v="1"/>
    <x v="1"/>
    <n v="0"/>
    <n v="0"/>
    <n v="2.04"/>
    <n v="2.04"/>
    <n v="2.04"/>
    <n v="2.04"/>
    <n v="0"/>
    <s v="CATIVO"/>
    <n v="0"/>
    <n v="0"/>
    <n v="44"/>
    <n v="32"/>
    <n v="0"/>
    <n v="245.01"/>
    <n v="70.61"/>
    <m/>
    <n v="310.08158575830328"/>
    <n v="76.135323767121193"/>
    <n v="0"/>
    <n v="1195.7256"/>
    <n v="0"/>
    <n v="1463.2103486591795"/>
    <x v="2"/>
  </r>
  <r>
    <s v="Regular"/>
    <x v="1"/>
    <x v="1"/>
    <x v="1"/>
    <x v="2"/>
    <x v="0"/>
    <x v="0"/>
    <x v="1"/>
    <x v="2"/>
    <n v="0"/>
    <n v="0"/>
    <n v="2.16"/>
    <n v="2.16"/>
    <n v="2.16"/>
    <n v="2.16"/>
    <n v="1"/>
    <s v="CATIVO"/>
    <n v="0"/>
    <n v="0"/>
    <n v="44"/>
    <n v="32"/>
    <n v="0"/>
    <n v="245.01"/>
    <n v="70.61"/>
    <m/>
    <n v="310.08158575830328"/>
    <n v="76.135323767121193"/>
    <n v="0"/>
    <n v="1266.0624"/>
    <n v="0"/>
    <n v="1549.2815456391313"/>
    <x v="2"/>
  </r>
  <r>
    <s v="Regular"/>
    <x v="1"/>
    <x v="1"/>
    <x v="1"/>
    <x v="2"/>
    <x v="0"/>
    <x v="0"/>
    <x v="1"/>
    <x v="3"/>
    <n v="0"/>
    <n v="0"/>
    <n v="2.2200000000000002"/>
    <n v="2.2200000000000002"/>
    <n v="2.2200000000000002"/>
    <n v="2.2200000000000002"/>
    <n v="2"/>
    <s v="CATIVO"/>
    <n v="0"/>
    <n v="0"/>
    <n v="44"/>
    <n v="32"/>
    <n v="0"/>
    <n v="245.01"/>
    <n v="70.61"/>
    <m/>
    <n v="310.08158575830328"/>
    <n v="76.135323767121193"/>
    <n v="0"/>
    <n v="1301.2308"/>
    <n v="0"/>
    <n v="1592.3171441291072"/>
    <x v="2"/>
  </r>
  <r>
    <s v="Regular"/>
    <x v="1"/>
    <x v="1"/>
    <x v="1"/>
    <x v="2"/>
    <x v="0"/>
    <x v="0"/>
    <x v="1"/>
    <x v="4"/>
    <n v="0"/>
    <n v="0"/>
    <n v="2.25"/>
    <n v="2.25"/>
    <n v="2.25"/>
    <n v="2.25"/>
    <n v="0"/>
    <s v="CATIVO"/>
    <n v="0"/>
    <n v="0"/>
    <n v="44"/>
    <n v="32"/>
    <n v="0"/>
    <n v="245.01"/>
    <n v="70.61"/>
    <m/>
    <n v="310.08158575830328"/>
    <n v="76.135323767121193"/>
    <n v="0"/>
    <n v="1318.8150000000001"/>
    <n v="0"/>
    <n v="1613.834943374095"/>
    <x v="2"/>
  </r>
  <r>
    <s v="Regular"/>
    <x v="1"/>
    <x v="1"/>
    <x v="1"/>
    <x v="2"/>
    <x v="0"/>
    <x v="0"/>
    <x v="1"/>
    <x v="5"/>
    <n v="0"/>
    <n v="0"/>
    <n v="2.34"/>
    <n v="2.34"/>
    <n v="2.34"/>
    <n v="2.34"/>
    <n v="0"/>
    <s v="CATIVO"/>
    <n v="0"/>
    <n v="0"/>
    <n v="44"/>
    <n v="32"/>
    <n v="0"/>
    <n v="245.01"/>
    <n v="70.61"/>
    <m/>
    <n v="310.08158575830328"/>
    <n v="76.135323767121193"/>
    <n v="0"/>
    <n v="1371.5675999999999"/>
    <n v="0"/>
    <n v="1678.3883411090587"/>
    <x v="2"/>
  </r>
  <r>
    <s v="Regular"/>
    <x v="1"/>
    <x v="1"/>
    <x v="1"/>
    <x v="2"/>
    <x v="0"/>
    <x v="0"/>
    <x v="1"/>
    <x v="6"/>
    <n v="0"/>
    <n v="0"/>
    <n v="2.4900000000000002"/>
    <n v="2.4900000000000002"/>
    <n v="2.4900000000000002"/>
    <n v="2.4900000000000002"/>
    <n v="0"/>
    <s v="CATIVO"/>
    <n v="0"/>
    <n v="0"/>
    <n v="44"/>
    <n v="32"/>
    <n v="0"/>
    <n v="245.01"/>
    <n v="70.61"/>
    <m/>
    <n v="310.08158575830328"/>
    <n v="76.135323767121193"/>
    <n v="0"/>
    <n v="1459.4886000000001"/>
    <n v="0"/>
    <n v="1785.9773373339985"/>
    <x v="2"/>
  </r>
  <r>
    <s v="Regular"/>
    <x v="1"/>
    <x v="1"/>
    <x v="1"/>
    <x v="2"/>
    <x v="0"/>
    <x v="0"/>
    <x v="1"/>
    <x v="7"/>
    <n v="0"/>
    <n v="0"/>
    <n v="2.7"/>
    <n v="2.7"/>
    <n v="2.7"/>
    <n v="2.7"/>
    <n v="0"/>
    <s v="CATIVO"/>
    <n v="0"/>
    <n v="0"/>
    <n v="44"/>
    <n v="32"/>
    <n v="0"/>
    <n v="245.01"/>
    <n v="70.61"/>
    <m/>
    <n v="310.08158575830328"/>
    <n v="76.135323767121193"/>
    <n v="0"/>
    <n v="1582.578"/>
    <n v="0"/>
    <n v="1936.601932048914"/>
    <x v="2"/>
  </r>
  <r>
    <s v="Regular"/>
    <x v="1"/>
    <x v="1"/>
    <x v="1"/>
    <x v="2"/>
    <x v="0"/>
    <x v="0"/>
    <x v="1"/>
    <x v="8"/>
    <n v="0"/>
    <n v="0"/>
    <n v="2.73"/>
    <n v="2.73"/>
    <n v="2.73"/>
    <n v="2.73"/>
    <n v="1"/>
    <s v="CATIVO"/>
    <n v="0"/>
    <n v="0"/>
    <n v="44"/>
    <n v="32"/>
    <n v="0"/>
    <n v="245.01"/>
    <n v="70.61"/>
    <m/>
    <n v="310.08158575830328"/>
    <n v="76.135323767121193"/>
    <n v="0"/>
    <n v="1600.1622"/>
    <n v="0"/>
    <n v="1958.1197312939019"/>
    <x v="2"/>
  </r>
  <r>
    <s v="Regular"/>
    <x v="1"/>
    <x v="1"/>
    <x v="1"/>
    <x v="2"/>
    <x v="0"/>
    <x v="0"/>
    <x v="1"/>
    <x v="9"/>
    <n v="0"/>
    <n v="0"/>
    <n v="2.97"/>
    <n v="2.97"/>
    <n v="2.97"/>
    <n v="2.97"/>
    <n v="1"/>
    <s v="CATIVO"/>
    <n v="0"/>
    <n v="0"/>
    <n v="44"/>
    <n v="32"/>
    <n v="0"/>
    <n v="245.01"/>
    <n v="70.61"/>
    <m/>
    <n v="310.08158575830328"/>
    <n v="76.135323767121193"/>
    <n v="0"/>
    <n v="1740.8358000000001"/>
    <n v="0"/>
    <n v="2130.2621252538056"/>
    <x v="2"/>
  </r>
  <r>
    <s v="Regular"/>
    <x v="1"/>
    <x v="1"/>
    <x v="1"/>
    <x v="2"/>
    <x v="0"/>
    <x v="0"/>
    <x v="1"/>
    <x v="10"/>
    <n v="0"/>
    <n v="0"/>
    <n v="3.36"/>
    <n v="3.36"/>
    <n v="3.36"/>
    <n v="3.36"/>
    <n v="1"/>
    <s v="CATIVO"/>
    <n v="0"/>
    <n v="0"/>
    <n v="44"/>
    <n v="32"/>
    <n v="0"/>
    <n v="245.01"/>
    <n v="70.61"/>
    <m/>
    <n v="310.08158575830328"/>
    <n v="76.135323767121193"/>
    <n v="0"/>
    <n v="1969.4304"/>
    <n v="0"/>
    <n v="2409.9935154386485"/>
    <x v="2"/>
  </r>
  <r>
    <s v="Regular"/>
    <x v="1"/>
    <x v="1"/>
    <x v="1"/>
    <x v="2"/>
    <x v="0"/>
    <x v="0"/>
    <x v="1"/>
    <x v="11"/>
    <n v="0"/>
    <n v="0"/>
    <n v="7.62"/>
    <n v="7.62"/>
    <n v="7.62"/>
    <n v="7.62"/>
    <n v="11"/>
    <s v="CATIVO"/>
    <n v="0"/>
    <n v="0"/>
    <n v="44"/>
    <n v="32"/>
    <n v="0"/>
    <n v="245.01"/>
    <n v="70.61"/>
    <m/>
    <n v="310.08158575830328"/>
    <n v="76.135323767121193"/>
    <n v="0"/>
    <n v="4466.3868000000002"/>
    <n v="0"/>
    <n v="5465.521008226935"/>
    <x v="2"/>
  </r>
  <r>
    <s v="Regular"/>
    <x v="1"/>
    <x v="1"/>
    <x v="1"/>
    <x v="3"/>
    <x v="0"/>
    <x v="0"/>
    <x v="1"/>
    <x v="0"/>
    <n v="0"/>
    <n v="0"/>
    <n v="4.13"/>
    <n v="4.13"/>
    <n v="4.13"/>
    <n v="4.13"/>
    <n v="9"/>
    <s v="CATIVO"/>
    <n v="0"/>
    <n v="0"/>
    <n v="45"/>
    <n v="33"/>
    <n v="0"/>
    <n v="420.02"/>
    <n v="121.04"/>
    <m/>
    <n v="531.56843272851995"/>
    <n v="130.51769788649349"/>
    <n v="0"/>
    <n v="1489.6909999999998"/>
    <n v="0"/>
    <n v="1822.9438129600032"/>
    <x v="2"/>
  </r>
  <r>
    <s v="Regular"/>
    <x v="1"/>
    <x v="1"/>
    <x v="1"/>
    <x v="3"/>
    <x v="0"/>
    <x v="0"/>
    <x v="1"/>
    <x v="1"/>
    <n v="0"/>
    <n v="0"/>
    <n v="4.41"/>
    <n v="4.41"/>
    <n v="4.41"/>
    <n v="4.41"/>
    <n v="14"/>
    <s v="CATIVO"/>
    <n v="0"/>
    <n v="0"/>
    <n v="45"/>
    <n v="33"/>
    <n v="0"/>
    <n v="420.02"/>
    <n v="121.04"/>
    <m/>
    <n v="531.56843272851995"/>
    <n v="130.51769788649349"/>
    <n v="0"/>
    <n v="1590.6869999999999"/>
    <n v="0"/>
    <n v="1946.5332240081391"/>
    <x v="2"/>
  </r>
  <r>
    <s v="Regular"/>
    <x v="1"/>
    <x v="1"/>
    <x v="1"/>
    <x v="3"/>
    <x v="0"/>
    <x v="0"/>
    <x v="1"/>
    <x v="2"/>
    <n v="0"/>
    <n v="0"/>
    <n v="4.6740000000000004"/>
    <n v="4.6740000000000004"/>
    <n v="4.6740000000000004"/>
    <n v="4.6740000000000004"/>
    <n v="13"/>
    <s v="CATIVO"/>
    <n v="0"/>
    <n v="0"/>
    <n v="45"/>
    <n v="33"/>
    <n v="0"/>
    <n v="420.02"/>
    <n v="121.04"/>
    <m/>
    <n v="531.56843272851995"/>
    <n v="130.51769788649349"/>
    <n v="0"/>
    <n v="1685.9118000000001"/>
    <n v="0"/>
    <n v="2063.0603829963816"/>
    <x v="2"/>
  </r>
  <r>
    <s v="Regular"/>
    <x v="1"/>
    <x v="1"/>
    <x v="1"/>
    <x v="3"/>
    <x v="0"/>
    <x v="0"/>
    <x v="1"/>
    <x v="3"/>
    <n v="0"/>
    <n v="0"/>
    <n v="4.6449999999999996"/>
    <n v="4.6449999999999996"/>
    <n v="4.6449999999999996"/>
    <n v="4.6449999999999996"/>
    <n v="16"/>
    <s v="CATIVO"/>
    <n v="0"/>
    <n v="0"/>
    <n v="45"/>
    <n v="33"/>
    <n v="0"/>
    <n v="420.02"/>
    <n v="121.04"/>
    <m/>
    <n v="531.56843272851995"/>
    <n v="130.51769788649349"/>
    <n v="0"/>
    <n v="1675.4514999999999"/>
    <n v="0"/>
    <n v="2050.2600511378241"/>
    <x v="2"/>
  </r>
  <r>
    <s v="Regular"/>
    <x v="1"/>
    <x v="1"/>
    <x v="1"/>
    <x v="3"/>
    <x v="0"/>
    <x v="0"/>
    <x v="1"/>
    <x v="4"/>
    <n v="0"/>
    <n v="0"/>
    <n v="4.83"/>
    <n v="4.83"/>
    <n v="4.83"/>
    <n v="4.83"/>
    <n v="17"/>
    <s v="CATIVO"/>
    <n v="0"/>
    <n v="0"/>
    <n v="45"/>
    <n v="33"/>
    <n v="0"/>
    <n v="420.02"/>
    <n v="121.04"/>
    <m/>
    <n v="531.56843272851995"/>
    <n v="130.51769788649349"/>
    <n v="0"/>
    <n v="1742.181"/>
    <n v="0"/>
    <n v="2131.9173405803431"/>
    <x v="2"/>
  </r>
  <r>
    <s v="Refaturamento - Regular"/>
    <x v="1"/>
    <x v="1"/>
    <x v="1"/>
    <x v="3"/>
    <x v="0"/>
    <x v="0"/>
    <x v="1"/>
    <x v="4"/>
    <n v="0"/>
    <n v="0"/>
    <n v="-0.03"/>
    <n v="-0.03"/>
    <n v="-0.03"/>
    <n v="-0.03"/>
    <n v="0"/>
    <s v="CATIVO"/>
    <n v="0"/>
    <n v="0"/>
    <n v="45"/>
    <n v="33"/>
    <n v="0"/>
    <n v="420.02"/>
    <n v="121.04"/>
    <m/>
    <n v="531.56843272851995"/>
    <n v="130.51769788649349"/>
    <n v="0"/>
    <n v="-10.821"/>
    <n v="0"/>
    <n v="-13.241722612300265"/>
    <x v="2"/>
  </r>
  <r>
    <s v="Regular"/>
    <x v="1"/>
    <x v="1"/>
    <x v="1"/>
    <x v="3"/>
    <x v="0"/>
    <x v="0"/>
    <x v="1"/>
    <x v="5"/>
    <n v="0"/>
    <n v="0"/>
    <n v="5.1890000000000001"/>
    <n v="5.1890000000000001"/>
    <n v="5.1890000000000001"/>
    <n v="5.1890000000000001"/>
    <n v="14"/>
    <s v="CATIVO"/>
    <n v="0"/>
    <n v="0"/>
    <n v="45"/>
    <n v="33"/>
    <n v="0"/>
    <n v="420.02"/>
    <n v="121.04"/>
    <m/>
    <n v="531.56843272851995"/>
    <n v="130.51769788649349"/>
    <n v="0"/>
    <n v="1871.6723"/>
    <n v="0"/>
    <n v="2290.3766211742027"/>
    <x v="2"/>
  </r>
  <r>
    <s v="Regular"/>
    <x v="1"/>
    <x v="1"/>
    <x v="1"/>
    <x v="3"/>
    <x v="0"/>
    <x v="0"/>
    <x v="1"/>
    <x v="6"/>
    <n v="0"/>
    <n v="0"/>
    <n v="5.5750000000000002"/>
    <n v="5.5750000000000002"/>
    <n v="5.5750000000000002"/>
    <n v="5.5750000000000002"/>
    <n v="12"/>
    <s v="CATIVO"/>
    <n v="0"/>
    <n v="0"/>
    <n v="45"/>
    <n v="33"/>
    <n v="0"/>
    <n v="420.02"/>
    <n v="121.04"/>
    <m/>
    <n v="531.56843272851995"/>
    <n v="130.51769788649349"/>
    <n v="0"/>
    <n v="2010.9024999999999"/>
    <n v="0"/>
    <n v="2460.7534521191328"/>
    <x v="2"/>
  </r>
  <r>
    <s v="Regular"/>
    <x v="1"/>
    <x v="1"/>
    <x v="1"/>
    <x v="3"/>
    <x v="0"/>
    <x v="0"/>
    <x v="1"/>
    <x v="7"/>
    <n v="0"/>
    <n v="0"/>
    <n v="5.9130000000000003"/>
    <n v="5.9130000000000003"/>
    <n v="5.9130000000000003"/>
    <n v="5.9130000000000003"/>
    <n v="19"/>
    <s v="CATIVO"/>
    <n v="0"/>
    <n v="0"/>
    <n v="45"/>
    <n v="33"/>
    <n v="0"/>
    <n v="420.02"/>
    <n v="121.04"/>
    <m/>
    <n v="531.56843272851995"/>
    <n v="130.51769788649349"/>
    <n v="0"/>
    <n v="2132.8191000000002"/>
    <n v="0"/>
    <n v="2609.9435268843827"/>
    <x v="2"/>
  </r>
  <r>
    <s v="Regular"/>
    <x v="1"/>
    <x v="1"/>
    <x v="1"/>
    <x v="3"/>
    <x v="0"/>
    <x v="0"/>
    <x v="1"/>
    <x v="8"/>
    <n v="0"/>
    <n v="0"/>
    <n v="6.1369999999999996"/>
    <n v="6.1369999999999996"/>
    <n v="6.1369999999999996"/>
    <n v="6.1369999999999996"/>
    <n v="9"/>
    <s v="CATIVO"/>
    <n v="0"/>
    <n v="0"/>
    <n v="45"/>
    <n v="33"/>
    <n v="0"/>
    <n v="420.02"/>
    <n v="121.04"/>
    <m/>
    <n v="531.56843272851995"/>
    <n v="130.51769788649349"/>
    <n v="0"/>
    <n v="2213.6158999999998"/>
    <n v="0"/>
    <n v="2708.815055722891"/>
    <x v="2"/>
  </r>
  <r>
    <s v="Refaturamento - Regular"/>
    <x v="1"/>
    <x v="1"/>
    <x v="1"/>
    <x v="3"/>
    <x v="0"/>
    <x v="0"/>
    <x v="1"/>
    <x v="8"/>
    <n v="0"/>
    <n v="0"/>
    <n v="-0.01"/>
    <n v="-0.01"/>
    <n v="-0.01"/>
    <n v="-0.01"/>
    <n v="0"/>
    <s v="CATIVO"/>
    <n v="0"/>
    <n v="0"/>
    <n v="45"/>
    <n v="33"/>
    <n v="0"/>
    <n v="420.02"/>
    <n v="121.04"/>
    <m/>
    <n v="531.56843272851995"/>
    <n v="130.51769788649349"/>
    <n v="0"/>
    <n v="-3.6069999999999998"/>
    <n v="0"/>
    <n v="-4.4139075374334222"/>
    <x v="2"/>
  </r>
  <r>
    <s v="Regular"/>
    <x v="1"/>
    <x v="1"/>
    <x v="1"/>
    <x v="3"/>
    <x v="0"/>
    <x v="0"/>
    <x v="1"/>
    <x v="9"/>
    <n v="0"/>
    <n v="0"/>
    <n v="6.6760000000000002"/>
    <n v="6.6760000000000002"/>
    <n v="6.6760000000000002"/>
    <n v="6.6760000000000002"/>
    <n v="10"/>
    <s v="CATIVO"/>
    <n v="0"/>
    <n v="0"/>
    <n v="45"/>
    <n v="33"/>
    <n v="0"/>
    <n v="420.02"/>
    <n v="121.04"/>
    <m/>
    <n v="531.56843272851995"/>
    <n v="130.51769788649349"/>
    <n v="0"/>
    <n v="2408.0331999999999"/>
    <n v="0"/>
    <n v="2946.7246719905525"/>
    <x v="2"/>
  </r>
  <r>
    <s v="Regular"/>
    <x v="1"/>
    <x v="1"/>
    <x v="1"/>
    <x v="3"/>
    <x v="0"/>
    <x v="0"/>
    <x v="1"/>
    <x v="10"/>
    <n v="0"/>
    <n v="0"/>
    <n v="7.4710000000000001"/>
    <n v="7.4710000000000001"/>
    <n v="7.4710000000000001"/>
    <n v="7.4710000000000001"/>
    <n v="13"/>
    <s v="CATIVO"/>
    <n v="0"/>
    <n v="0"/>
    <n v="45"/>
    <n v="33"/>
    <n v="0"/>
    <n v="420.02"/>
    <n v="121.04"/>
    <m/>
    <n v="531.56843272851995"/>
    <n v="130.51769788649349"/>
    <n v="0"/>
    <n v="2694.7896999999998"/>
    <n v="0"/>
    <n v="3297.6303212165099"/>
    <x v="2"/>
  </r>
  <r>
    <s v="Regular"/>
    <x v="1"/>
    <x v="1"/>
    <x v="1"/>
    <x v="3"/>
    <x v="0"/>
    <x v="0"/>
    <x v="1"/>
    <x v="11"/>
    <n v="0"/>
    <n v="0"/>
    <n v="15.465"/>
    <n v="15.465"/>
    <n v="15.465"/>
    <n v="15.465"/>
    <n v="53"/>
    <s v="CATIVO"/>
    <n v="0"/>
    <n v="0"/>
    <n v="45"/>
    <n v="33"/>
    <n v="0"/>
    <n v="420.02"/>
    <n v="121.04"/>
    <m/>
    <n v="531.56843272851995"/>
    <n v="130.51769788649349"/>
    <n v="0"/>
    <n v="5578.2254999999996"/>
    <n v="0"/>
    <n v="6826.1080066407867"/>
    <x v="2"/>
  </r>
  <r>
    <s v="Regular"/>
    <x v="1"/>
    <x v="1"/>
    <x v="1"/>
    <x v="4"/>
    <x v="0"/>
    <x v="0"/>
    <x v="1"/>
    <x v="0"/>
    <n v="0"/>
    <n v="0"/>
    <n v="3.9220000000000002"/>
    <n v="3.9220000000000002"/>
    <n v="3.9220000000000002"/>
    <n v="3.9220000000000002"/>
    <n v="39"/>
    <s v="CATIVO"/>
    <n v="0"/>
    <n v="0"/>
    <n v="40"/>
    <n v="27"/>
    <n v="0"/>
    <n v="630.02"/>
    <n v="181.56"/>
    <m/>
    <n v="797.35264909277998"/>
    <n v="195.77654682974023"/>
    <n v="0"/>
    <n v="353.68596000000002"/>
    <n v="0"/>
    <n v="432.7836340453465"/>
    <x v="2"/>
  </r>
  <r>
    <s v="Regular"/>
    <x v="1"/>
    <x v="1"/>
    <x v="1"/>
    <x v="4"/>
    <x v="0"/>
    <x v="0"/>
    <x v="1"/>
    <x v="1"/>
    <n v="0"/>
    <n v="0"/>
    <n v="3.9279999999999999"/>
    <n v="3.9279999999999999"/>
    <n v="3.9279999999999999"/>
    <n v="3.9279999999999999"/>
    <n v="44"/>
    <s v="CATIVO"/>
    <n v="0"/>
    <n v="0"/>
    <n v="40"/>
    <n v="27"/>
    <n v="0"/>
    <n v="630.02"/>
    <n v="181.56"/>
    <m/>
    <n v="797.35264909277998"/>
    <n v="195.77654682974023"/>
    <n v="0"/>
    <n v="354.22704000000004"/>
    <n v="0"/>
    <n v="433.44572017596147"/>
    <x v="2"/>
  </r>
  <r>
    <s v="Regular"/>
    <x v="1"/>
    <x v="1"/>
    <x v="1"/>
    <x v="4"/>
    <x v="0"/>
    <x v="0"/>
    <x v="1"/>
    <x v="2"/>
    <n v="0"/>
    <n v="0"/>
    <n v="3.9359999999999999"/>
    <n v="3.9359999999999999"/>
    <n v="3.9359999999999999"/>
    <n v="3.9359999999999999"/>
    <n v="50"/>
    <s v="CATIVO"/>
    <n v="0"/>
    <n v="0"/>
    <n v="40"/>
    <n v="27"/>
    <n v="0"/>
    <n v="630.02"/>
    <n v="181.56"/>
    <m/>
    <n v="797.35264909277998"/>
    <n v="195.77654682974023"/>
    <n v="0"/>
    <n v="354.94848000000002"/>
    <n v="0"/>
    <n v="434.32850168344817"/>
    <x v="2"/>
  </r>
  <r>
    <s v="Regular"/>
    <x v="1"/>
    <x v="1"/>
    <x v="1"/>
    <x v="4"/>
    <x v="0"/>
    <x v="0"/>
    <x v="1"/>
    <x v="3"/>
    <n v="0"/>
    <n v="0"/>
    <n v="3.504"/>
    <n v="3.504"/>
    <n v="3.504"/>
    <n v="3.504"/>
    <n v="45"/>
    <s v="CATIVO"/>
    <n v="0"/>
    <n v="0"/>
    <n v="40"/>
    <n v="27"/>
    <n v="0"/>
    <n v="630.02"/>
    <n v="181.56"/>
    <m/>
    <n v="797.35264909277998"/>
    <n v="195.77654682974023"/>
    <n v="0"/>
    <n v="315.99072000000001"/>
    <n v="0"/>
    <n v="386.65830027916729"/>
    <x v="2"/>
  </r>
  <r>
    <s v="Regular"/>
    <x v="1"/>
    <x v="1"/>
    <x v="1"/>
    <x v="4"/>
    <x v="0"/>
    <x v="0"/>
    <x v="1"/>
    <x v="4"/>
    <n v="0"/>
    <n v="0"/>
    <n v="3.944"/>
    <n v="3.944"/>
    <n v="3.944"/>
    <n v="3.944"/>
    <n v="45"/>
    <s v="CATIVO"/>
    <n v="0"/>
    <n v="0"/>
    <n v="40"/>
    <n v="27"/>
    <n v="0"/>
    <n v="630.02"/>
    <n v="181.56"/>
    <m/>
    <n v="797.35264909277998"/>
    <n v="195.77654682974023"/>
    <n v="0"/>
    <n v="355.66992000000005"/>
    <n v="0"/>
    <n v="435.21128319093486"/>
    <x v="2"/>
  </r>
  <r>
    <s v="Refaturamento - Regular"/>
    <x v="1"/>
    <x v="1"/>
    <x v="1"/>
    <x v="4"/>
    <x v="0"/>
    <x v="0"/>
    <x v="1"/>
    <x v="4"/>
    <n v="0"/>
    <n v="0"/>
    <n v="-4.1000000000000002E-2"/>
    <n v="-4.1000000000000002E-2"/>
    <n v="-4.1000000000000002E-2"/>
    <n v="-4.1000000000000002E-2"/>
    <n v="0"/>
    <s v="CATIVO"/>
    <n v="0"/>
    <n v="0"/>
    <n v="40"/>
    <n v="27"/>
    <n v="0"/>
    <n v="630.02"/>
    <n v="181.56"/>
    <m/>
    <n v="797.35264909277998"/>
    <n v="195.77654682974023"/>
    <n v="0"/>
    <n v="-3.6973800000000003"/>
    <n v="0"/>
    <n v="-4.5242552258692523"/>
    <x v="2"/>
  </r>
  <r>
    <s v="Regular"/>
    <x v="1"/>
    <x v="1"/>
    <x v="1"/>
    <x v="4"/>
    <x v="0"/>
    <x v="0"/>
    <x v="1"/>
    <x v="5"/>
    <n v="0"/>
    <n v="0"/>
    <n v="4.8330000000000002"/>
    <n v="4.8330000000000002"/>
    <n v="4.8330000000000002"/>
    <n v="4.8330000000000002"/>
    <n v="44"/>
    <s v="CATIVO"/>
    <n v="0"/>
    <n v="0"/>
    <n v="40"/>
    <n v="27"/>
    <n v="0"/>
    <n v="630.02"/>
    <n v="181.56"/>
    <m/>
    <n v="797.35264909277998"/>
    <n v="195.77654682974023"/>
    <n v="0"/>
    <n v="435.83994000000007"/>
    <n v="0"/>
    <n v="533.31037821039251"/>
    <x v="2"/>
  </r>
  <r>
    <s v="Regular"/>
    <x v="1"/>
    <x v="1"/>
    <x v="1"/>
    <x v="4"/>
    <x v="0"/>
    <x v="0"/>
    <x v="1"/>
    <x v="6"/>
    <n v="0"/>
    <n v="0"/>
    <n v="4.8239999999999998"/>
    <n v="4.8239999999999998"/>
    <n v="4.8239999999999998"/>
    <n v="4.8239999999999998"/>
    <n v="55"/>
    <s v="CATIVO"/>
    <n v="0"/>
    <n v="0"/>
    <n v="40"/>
    <n v="27"/>
    <n v="0"/>
    <n v="630.02"/>
    <n v="181.56"/>
    <m/>
    <n v="797.35264909277998"/>
    <n v="195.77654682974023"/>
    <n v="0"/>
    <n v="435.02832000000001"/>
    <n v="0"/>
    <n v="532.31724901447001"/>
    <x v="2"/>
  </r>
  <r>
    <s v="Regular"/>
    <x v="1"/>
    <x v="1"/>
    <x v="1"/>
    <x v="4"/>
    <x v="0"/>
    <x v="0"/>
    <x v="1"/>
    <x v="7"/>
    <n v="0"/>
    <n v="0"/>
    <n v="4.6840000000000002"/>
    <n v="4.6840000000000002"/>
    <n v="4.6840000000000002"/>
    <n v="4.6840000000000002"/>
    <n v="54"/>
    <s v="CATIVO"/>
    <n v="0"/>
    <n v="0"/>
    <n v="40"/>
    <n v="27"/>
    <n v="0"/>
    <n v="630.02"/>
    <n v="181.56"/>
    <m/>
    <n v="797.35264909277998"/>
    <n v="195.77654682974023"/>
    <n v="0"/>
    <n v="422.40312000000006"/>
    <n v="0"/>
    <n v="516.86857263345303"/>
    <x v="2"/>
  </r>
  <r>
    <s v="Regular"/>
    <x v="1"/>
    <x v="1"/>
    <x v="1"/>
    <x v="4"/>
    <x v="0"/>
    <x v="0"/>
    <x v="1"/>
    <x v="8"/>
    <n v="0"/>
    <n v="0"/>
    <n v="5.4850000000000003"/>
    <n v="5.4850000000000003"/>
    <n v="5.4850000000000003"/>
    <n v="5.4850000000000003"/>
    <n v="62"/>
    <s v="CATIVO"/>
    <n v="0"/>
    <n v="0"/>
    <n v="40"/>
    <n v="27"/>
    <n v="0"/>
    <n v="630.02"/>
    <n v="181.56"/>
    <m/>
    <n v="797.35264909277998"/>
    <n v="195.77654682974023"/>
    <n v="0"/>
    <n v="494.63730000000004"/>
    <n v="0"/>
    <n v="605.25707107055723"/>
    <x v="2"/>
  </r>
  <r>
    <s v="Refaturamento - Regular"/>
    <x v="1"/>
    <x v="1"/>
    <x v="1"/>
    <x v="4"/>
    <x v="0"/>
    <x v="0"/>
    <x v="1"/>
    <x v="8"/>
    <n v="0"/>
    <n v="0"/>
    <n v="-5.1999999999999998E-2"/>
    <n v="-5.1999999999999998E-2"/>
    <n v="-5.1999999999999998E-2"/>
    <n v="-5.1999999999999998E-2"/>
    <n v="0"/>
    <s v="CATIVO"/>
    <n v="0"/>
    <n v="0"/>
    <n v="40"/>
    <n v="27"/>
    <n v="0"/>
    <n v="630.02"/>
    <n v="181.56"/>
    <m/>
    <n v="797.35264909277998"/>
    <n v="195.77654682974023"/>
    <n v="0"/>
    <n v="-4.6893599999999998"/>
    <n v="0"/>
    <n v="-5.7380797986634411"/>
    <x v="2"/>
  </r>
  <r>
    <s v="Regular"/>
    <x v="1"/>
    <x v="1"/>
    <x v="1"/>
    <x v="4"/>
    <x v="0"/>
    <x v="0"/>
    <x v="1"/>
    <x v="9"/>
    <n v="0"/>
    <n v="0"/>
    <n v="6.1559999999999997"/>
    <n v="6.1559999999999997"/>
    <n v="6.1559999999999997"/>
    <n v="6.1559999999999997"/>
    <n v="70"/>
    <s v="CATIVO"/>
    <n v="0"/>
    <n v="0"/>
    <n v="40"/>
    <n v="27"/>
    <n v="0"/>
    <n v="630.02"/>
    <n v="181.56"/>
    <m/>
    <n v="797.35264909277998"/>
    <n v="195.77654682974023"/>
    <n v="0"/>
    <n v="555.14808000000005"/>
    <n v="0"/>
    <n v="679.30037001100277"/>
    <x v="2"/>
  </r>
  <r>
    <s v="Regular"/>
    <x v="1"/>
    <x v="1"/>
    <x v="1"/>
    <x v="4"/>
    <x v="0"/>
    <x v="0"/>
    <x v="1"/>
    <x v="10"/>
    <n v="0"/>
    <n v="0"/>
    <n v="6.8220000000000001"/>
    <n v="6.8220000000000001"/>
    <n v="6.8220000000000001"/>
    <n v="6.8220000000000001"/>
    <n v="72"/>
    <s v="CATIVO"/>
    <n v="0"/>
    <n v="0"/>
    <n v="40"/>
    <n v="27"/>
    <n v="0"/>
    <n v="630.02"/>
    <n v="181.56"/>
    <m/>
    <n v="797.35264909277998"/>
    <n v="195.77654682974023"/>
    <n v="0"/>
    <n v="615.20796000000007"/>
    <n v="0"/>
    <n v="752.79193050926915"/>
    <x v="2"/>
  </r>
  <r>
    <s v="Regular"/>
    <x v="1"/>
    <x v="1"/>
    <x v="1"/>
    <x v="4"/>
    <x v="0"/>
    <x v="0"/>
    <x v="1"/>
    <x v="11"/>
    <n v="0"/>
    <n v="0"/>
    <n v="12.817"/>
    <n v="12.817"/>
    <n v="12.817"/>
    <n v="12.817"/>
    <n v="145"/>
    <s v="CATIVO"/>
    <n v="0"/>
    <n v="0"/>
    <n v="40"/>
    <n v="27"/>
    <n v="0"/>
    <n v="630.02"/>
    <n v="181.56"/>
    <m/>
    <n v="797.35264909277998"/>
    <n v="195.77654682974023"/>
    <n v="0"/>
    <n v="1155.8370600000001"/>
    <n v="0"/>
    <n v="1414.3263226821025"/>
    <x v="2"/>
  </r>
  <r>
    <s v="Regular"/>
    <x v="1"/>
    <x v="1"/>
    <x v="1"/>
    <x v="5"/>
    <x v="0"/>
    <x v="0"/>
    <x v="1"/>
    <x v="0"/>
    <n v="0"/>
    <n v="0"/>
    <n v="1.7529999999999999"/>
    <n v="1.7529999999999999"/>
    <n v="1.7529999999999999"/>
    <n v="1.7529999999999999"/>
    <n v="14"/>
    <s v="CATIVO"/>
    <n v="0"/>
    <n v="0"/>
    <n v="41"/>
    <n v="28"/>
    <n v="0"/>
    <n v="700.03"/>
    <n v="201.73"/>
    <m/>
    <n v="885.94738788086659"/>
    <n v="217.52949647748915"/>
    <n v="0"/>
    <n v="4.9823256631498222E-14"/>
    <n v="0"/>
    <n v="-1.9929302652599289E-13"/>
    <x v="2"/>
  </r>
  <r>
    <s v="Regular"/>
    <x v="1"/>
    <x v="1"/>
    <x v="1"/>
    <x v="5"/>
    <x v="0"/>
    <x v="0"/>
    <x v="1"/>
    <x v="1"/>
    <n v="0"/>
    <n v="0"/>
    <n v="1.304"/>
    <n v="1.304"/>
    <n v="1.304"/>
    <n v="1.304"/>
    <n v="10"/>
    <s v="CATIVO"/>
    <n v="0"/>
    <n v="0"/>
    <n v="41"/>
    <n v="28"/>
    <n v="0"/>
    <n v="700.03"/>
    <n v="201.73"/>
    <m/>
    <n v="885.94738788086659"/>
    <n v="217.52949647748915"/>
    <n v="0"/>
    <n v="3.7061909097246827E-14"/>
    <n v="0"/>
    <n v="-1.4824763638898731E-13"/>
    <x v="2"/>
  </r>
  <r>
    <s v="Regular"/>
    <x v="1"/>
    <x v="1"/>
    <x v="1"/>
    <x v="5"/>
    <x v="0"/>
    <x v="0"/>
    <x v="1"/>
    <x v="2"/>
    <n v="0"/>
    <n v="0"/>
    <n v="1.218"/>
    <n v="1.218"/>
    <n v="1.218"/>
    <n v="1.218"/>
    <n v="8"/>
    <s v="CATIVO"/>
    <n v="0"/>
    <n v="0"/>
    <n v="41"/>
    <n v="28"/>
    <n v="0"/>
    <n v="700.03"/>
    <n v="201.73"/>
    <m/>
    <n v="885.94738788086659"/>
    <n v="217.52949647748915"/>
    <n v="0"/>
    <n v="3.461764208623208E-14"/>
    <n v="0"/>
    <n v="-1.3847056834492832E-13"/>
    <x v="2"/>
  </r>
  <r>
    <s v="Regular"/>
    <x v="1"/>
    <x v="1"/>
    <x v="1"/>
    <x v="5"/>
    <x v="0"/>
    <x v="0"/>
    <x v="1"/>
    <x v="3"/>
    <n v="0"/>
    <n v="0"/>
    <n v="1.37"/>
    <n v="1.37"/>
    <n v="1.37"/>
    <n v="1.37"/>
    <n v="11"/>
    <s v="CATIVO"/>
    <n v="0"/>
    <n v="0"/>
    <n v="41"/>
    <n v="28"/>
    <n v="0"/>
    <n v="700.03"/>
    <n v="201.73"/>
    <m/>
    <n v="885.94738788086659"/>
    <n v="217.52949647748915"/>
    <n v="0"/>
    <n v="3.8937741919653493E-14"/>
    <n v="0"/>
    <n v="-1.5575096767861397E-13"/>
    <x v="2"/>
  </r>
  <r>
    <s v="Regular"/>
    <x v="1"/>
    <x v="1"/>
    <x v="1"/>
    <x v="5"/>
    <x v="0"/>
    <x v="0"/>
    <x v="1"/>
    <x v="4"/>
    <n v="0"/>
    <n v="0"/>
    <n v="1.6919999999999999"/>
    <n v="1.6919999999999999"/>
    <n v="1.6919999999999999"/>
    <n v="1.6919999999999999"/>
    <n v="13"/>
    <s v="CATIVO"/>
    <n v="0"/>
    <n v="0"/>
    <n v="41"/>
    <n v="28"/>
    <n v="0"/>
    <n v="700.03"/>
    <n v="201.73"/>
    <m/>
    <n v="885.94738788086659"/>
    <n v="217.52949647748915"/>
    <n v="0"/>
    <n v="4.8089532356243579E-14"/>
    <n v="0"/>
    <n v="-1.9235812942497432E-13"/>
    <x v="2"/>
  </r>
  <r>
    <s v="Regular"/>
    <x v="1"/>
    <x v="1"/>
    <x v="1"/>
    <x v="5"/>
    <x v="0"/>
    <x v="0"/>
    <x v="1"/>
    <x v="5"/>
    <n v="0"/>
    <n v="0"/>
    <n v="1.6379999999999999"/>
    <n v="1.6379999999999999"/>
    <n v="1.6379999999999999"/>
    <n v="1.6379999999999999"/>
    <n v="20"/>
    <s v="CATIVO"/>
    <n v="0"/>
    <n v="0"/>
    <n v="41"/>
    <n v="28"/>
    <n v="0"/>
    <n v="700.03"/>
    <n v="201.73"/>
    <m/>
    <n v="885.94738788086659"/>
    <n v="217.52949647748915"/>
    <n v="0"/>
    <n v="4.6554760047001761E-14"/>
    <n v="0"/>
    <n v="-1.8621904018800705E-13"/>
    <x v="2"/>
  </r>
  <r>
    <s v="Regular"/>
    <x v="1"/>
    <x v="1"/>
    <x v="1"/>
    <x v="5"/>
    <x v="0"/>
    <x v="0"/>
    <x v="1"/>
    <x v="6"/>
    <n v="0"/>
    <n v="0"/>
    <n v="1.7350000000000001"/>
    <n v="1.7350000000000001"/>
    <n v="1.7350000000000001"/>
    <n v="1.7350000000000001"/>
    <n v="16"/>
    <s v="CATIVO"/>
    <n v="0"/>
    <n v="0"/>
    <n v="41"/>
    <n v="28"/>
    <n v="0"/>
    <n v="700.03"/>
    <n v="201.73"/>
    <m/>
    <n v="885.94738788086659"/>
    <n v="217.52949647748915"/>
    <n v="0"/>
    <n v="4.9311665861750956E-14"/>
    <n v="0"/>
    <n v="-1.9724666344700382E-13"/>
    <x v="2"/>
  </r>
  <r>
    <s v="Regular"/>
    <x v="1"/>
    <x v="1"/>
    <x v="1"/>
    <x v="5"/>
    <x v="0"/>
    <x v="0"/>
    <x v="1"/>
    <x v="7"/>
    <n v="0"/>
    <n v="0"/>
    <n v="1.452"/>
    <n v="1.452"/>
    <n v="1.452"/>
    <n v="1.452"/>
    <n v="17"/>
    <s v="CATIVO"/>
    <n v="0"/>
    <n v="0"/>
    <n v="41"/>
    <n v="28"/>
    <n v="0"/>
    <n v="700.03"/>
    <n v="201.73"/>
    <m/>
    <n v="885.94738788086659"/>
    <n v="217.52949647748915"/>
    <n v="0"/>
    <n v="4.1268322092946618E-14"/>
    <n v="0"/>
    <n v="-1.6507328837178647E-13"/>
    <x v="2"/>
  </r>
  <r>
    <s v="Regular"/>
    <x v="1"/>
    <x v="1"/>
    <x v="1"/>
    <x v="5"/>
    <x v="0"/>
    <x v="0"/>
    <x v="1"/>
    <x v="8"/>
    <n v="0"/>
    <n v="0"/>
    <n v="1.7949999999999999"/>
    <n v="1.7949999999999999"/>
    <n v="1.7949999999999999"/>
    <n v="1.7949999999999999"/>
    <n v="19"/>
    <s v="CATIVO"/>
    <n v="0"/>
    <n v="0"/>
    <n v="41"/>
    <n v="28"/>
    <n v="0"/>
    <n v="700.03"/>
    <n v="201.73"/>
    <m/>
    <n v="885.94738788086659"/>
    <n v="217.52949647748915"/>
    <n v="0"/>
    <n v="5.1016968427575191E-14"/>
    <n v="0"/>
    <n v="-2.0406787371030077E-13"/>
    <x v="2"/>
  </r>
  <r>
    <s v="Regular"/>
    <x v="1"/>
    <x v="1"/>
    <x v="1"/>
    <x v="5"/>
    <x v="0"/>
    <x v="0"/>
    <x v="1"/>
    <x v="9"/>
    <n v="0"/>
    <n v="0"/>
    <n v="2.1150000000000002"/>
    <n v="2.1150000000000002"/>
    <n v="2.1150000000000002"/>
    <n v="2.1150000000000002"/>
    <n v="18"/>
    <s v="CATIVO"/>
    <n v="0"/>
    <n v="0"/>
    <n v="41"/>
    <n v="28"/>
    <n v="0"/>
    <n v="700.03"/>
    <n v="201.73"/>
    <m/>
    <n v="885.94738788086659"/>
    <n v="217.52949647748915"/>
    <n v="0"/>
    <n v="6.0111915445304482E-14"/>
    <n v="0"/>
    <n v="-2.4044766178121793E-13"/>
    <x v="2"/>
  </r>
  <r>
    <s v="Regular"/>
    <x v="1"/>
    <x v="1"/>
    <x v="1"/>
    <x v="5"/>
    <x v="0"/>
    <x v="0"/>
    <x v="1"/>
    <x v="10"/>
    <n v="0"/>
    <n v="0"/>
    <n v="2.5640000000000001"/>
    <n v="2.5640000000000001"/>
    <n v="2.5640000000000001"/>
    <n v="2.5640000000000001"/>
    <n v="26"/>
    <s v="CATIVO"/>
    <n v="0"/>
    <n v="0"/>
    <n v="41"/>
    <n v="28"/>
    <n v="0"/>
    <n v="700.03"/>
    <n v="201.73"/>
    <m/>
    <n v="885.94738788086659"/>
    <n v="217.52949647748915"/>
    <n v="0"/>
    <n v="7.2873262979555877E-14"/>
    <n v="0"/>
    <n v="-2.9149305191822351E-13"/>
    <x v="2"/>
  </r>
  <r>
    <s v="Regular"/>
    <x v="1"/>
    <x v="1"/>
    <x v="1"/>
    <x v="5"/>
    <x v="0"/>
    <x v="0"/>
    <x v="1"/>
    <x v="11"/>
    <n v="0"/>
    <n v="0"/>
    <n v="4.2779999999999996"/>
    <n v="4.2779999999999996"/>
    <n v="4.2779999999999996"/>
    <n v="4.2779999999999996"/>
    <n v="45"/>
    <s v="CATIVO"/>
    <n v="0"/>
    <n v="0"/>
    <n v="41"/>
    <n v="28"/>
    <n v="0"/>
    <n v="700.03"/>
    <n v="201.73"/>
    <m/>
    <n v="885.94738788086659"/>
    <n v="217.52949647748915"/>
    <n v="0"/>
    <n v="1.2158807294326833E-13"/>
    <n v="0"/>
    <n v="-4.8635229177307333E-13"/>
    <x v="2"/>
  </r>
  <r>
    <s v="Regular"/>
    <x v="2"/>
    <x v="1"/>
    <x v="0"/>
    <x v="6"/>
    <x v="1"/>
    <x v="0"/>
    <x v="1"/>
    <x v="0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1"/>
    <n v="0"/>
    <n v="0"/>
    <n v="0.06"/>
    <n v="0.06"/>
    <n v="0.06"/>
    <n v="0.06"/>
    <n v="0"/>
    <s v="CATIVO"/>
    <n v="0"/>
    <n v="0"/>
    <n v="74"/>
    <n v="21"/>
    <n v="0"/>
    <n v="724.89"/>
    <n v="177.53"/>
    <m/>
    <n v="903.99555553454752"/>
    <n v="191.42595690019044"/>
    <n v="0"/>
    <n v="7.3830000000000018"/>
    <n v="0"/>
    <n v="8.9625396471933119"/>
    <x v="0"/>
  </r>
  <r>
    <s v="Regular"/>
    <x v="2"/>
    <x v="1"/>
    <x v="0"/>
    <x v="6"/>
    <x v="1"/>
    <x v="0"/>
    <x v="1"/>
    <x v="2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3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4"/>
    <n v="0"/>
    <n v="0"/>
    <n v="0.17299999999999999"/>
    <n v="0.17299999999999999"/>
    <n v="0.17299999999999999"/>
    <n v="0.17299999999999999"/>
    <n v="0"/>
    <s v="CATIVO"/>
    <n v="0"/>
    <n v="0"/>
    <n v="74"/>
    <n v="21"/>
    <n v="0"/>
    <n v="724.89"/>
    <n v="177.53"/>
    <m/>
    <n v="903.99555553454752"/>
    <n v="191.42595690019044"/>
    <n v="0"/>
    <n v="21.287650000000006"/>
    <n v="0"/>
    <n v="25.841989316074049"/>
    <x v="0"/>
  </r>
  <r>
    <s v="Regular"/>
    <x v="2"/>
    <x v="1"/>
    <x v="0"/>
    <x v="6"/>
    <x v="1"/>
    <x v="0"/>
    <x v="1"/>
    <x v="5"/>
    <n v="0"/>
    <n v="0"/>
    <n v="0.127"/>
    <n v="0.127"/>
    <n v="0.127"/>
    <n v="0.127"/>
    <n v="0"/>
    <s v="CATIVO"/>
    <n v="0"/>
    <n v="0"/>
    <n v="74"/>
    <n v="21"/>
    <n v="0"/>
    <n v="724.89"/>
    <n v="177.53"/>
    <m/>
    <n v="903.99555553454752"/>
    <n v="191.42595690019044"/>
    <n v="0"/>
    <n v="15.627350000000005"/>
    <n v="0"/>
    <n v="18.970708919892513"/>
    <x v="0"/>
  </r>
  <r>
    <s v="Regular"/>
    <x v="2"/>
    <x v="1"/>
    <x v="0"/>
    <x v="6"/>
    <x v="1"/>
    <x v="0"/>
    <x v="1"/>
    <x v="6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7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8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9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10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6"/>
    <x v="1"/>
    <x v="0"/>
    <x v="1"/>
    <x v="11"/>
    <n v="0"/>
    <n v="0"/>
    <n v="0.05"/>
    <n v="0.05"/>
    <n v="0.05"/>
    <n v="0.05"/>
    <n v="0"/>
    <s v="CATIVO"/>
    <n v="0"/>
    <n v="0"/>
    <n v="74"/>
    <n v="21"/>
    <n v="0"/>
    <n v="724.89"/>
    <n v="177.53"/>
    <m/>
    <n v="903.99555553454752"/>
    <n v="191.42595690019044"/>
    <n v="0"/>
    <n v="6.1525000000000025"/>
    <n v="0"/>
    <n v="7.4687830393277608"/>
    <x v="0"/>
  </r>
  <r>
    <s v="Regular"/>
    <x v="2"/>
    <x v="1"/>
    <x v="0"/>
    <x v="0"/>
    <x v="0"/>
    <x v="0"/>
    <x v="1"/>
    <x v="0"/>
    <n v="0"/>
    <n v="0"/>
    <n v="127.32299999999999"/>
    <n v="127.32299999999999"/>
    <n v="127.32299999999999"/>
    <n v="127.32299999999999"/>
    <n v="263"/>
    <s v="CATIVO"/>
    <n v="0"/>
    <n v="0"/>
    <n v="74"/>
    <n v="21"/>
    <n v="0"/>
    <n v="724.89"/>
    <n v="177.53"/>
    <m/>
    <n v="903.99555553454752"/>
    <n v="191.42595690019044"/>
    <n v="0"/>
    <n v="15667.095150000005"/>
    <n v="0"/>
    <n v="19018.957258326569"/>
    <x v="0"/>
  </r>
  <r>
    <s v="Refaturamento - Regular"/>
    <x v="2"/>
    <x v="1"/>
    <x v="0"/>
    <x v="0"/>
    <x v="0"/>
    <x v="0"/>
    <x v="1"/>
    <x v="0"/>
    <n v="0"/>
    <n v="0"/>
    <n v="-0.97699999999999998"/>
    <n v="-0.97699999999999998"/>
    <n v="-0.97699999999999998"/>
    <n v="-0.97699999999999998"/>
    <n v="0"/>
    <s v="CATIVO"/>
    <n v="0"/>
    <n v="0"/>
    <n v="74"/>
    <n v="21"/>
    <n v="0"/>
    <n v="724.89"/>
    <n v="177.53"/>
    <m/>
    <n v="903.99555553454752"/>
    <n v="191.42595690019044"/>
    <n v="0"/>
    <n v="-120.21985000000004"/>
    <n v="0"/>
    <n v="-145.94002058846445"/>
    <x v="0"/>
  </r>
  <r>
    <s v="Regular"/>
    <x v="2"/>
    <x v="1"/>
    <x v="0"/>
    <x v="0"/>
    <x v="0"/>
    <x v="0"/>
    <x v="1"/>
    <x v="1"/>
    <n v="0"/>
    <n v="0"/>
    <n v="124.43600000000001"/>
    <n v="124.43600000000001"/>
    <n v="124.43600000000001"/>
    <n v="124.43600000000001"/>
    <n v="262"/>
    <s v="CATIVO"/>
    <n v="0"/>
    <n v="0"/>
    <n v="74"/>
    <n v="21"/>
    <n v="0"/>
    <n v="724.89"/>
    <n v="177.53"/>
    <m/>
    <n v="903.99555553454752"/>
    <n v="191.42595690019044"/>
    <n v="0"/>
    <n v="15311.849800000005"/>
    <n v="0"/>
    <n v="18587.709725635785"/>
    <x v="0"/>
  </r>
  <r>
    <s v="Refaturamento - Regular"/>
    <x v="2"/>
    <x v="1"/>
    <x v="0"/>
    <x v="0"/>
    <x v="0"/>
    <x v="0"/>
    <x v="1"/>
    <x v="1"/>
    <n v="0"/>
    <n v="0"/>
    <n v="-7.9000000000000001E-2"/>
    <n v="-7.9000000000000001E-2"/>
    <n v="-7.9000000000000001E-2"/>
    <n v="-7.9000000000000001E-2"/>
    <n v="0"/>
    <s v="CATIVO"/>
    <n v="0"/>
    <n v="0"/>
    <n v="74"/>
    <n v="21"/>
    <n v="0"/>
    <n v="724.89"/>
    <n v="177.53"/>
    <m/>
    <n v="903.99555553454752"/>
    <n v="191.42595690019044"/>
    <n v="0"/>
    <n v="-9.7209500000000038"/>
    <n v="0"/>
    <n v="-11.800677202137862"/>
    <x v="0"/>
  </r>
  <r>
    <s v="Regular"/>
    <x v="2"/>
    <x v="1"/>
    <x v="0"/>
    <x v="0"/>
    <x v="0"/>
    <x v="0"/>
    <x v="1"/>
    <x v="2"/>
    <n v="0"/>
    <n v="0"/>
    <n v="129.67699999999999"/>
    <n v="129.67699999999999"/>
    <n v="129.67699999999999"/>
    <n v="129.67699999999999"/>
    <n v="261"/>
    <s v="CATIVO"/>
    <n v="0"/>
    <n v="0"/>
    <n v="74"/>
    <n v="21"/>
    <n v="0"/>
    <n v="724.89"/>
    <n v="177.53"/>
    <m/>
    <n v="903.99555553454752"/>
    <n v="191.42595690019044"/>
    <n v="0"/>
    <n v="15956.754850000005"/>
    <n v="0"/>
    <n v="19370.587563818121"/>
    <x v="0"/>
  </r>
  <r>
    <s v="Refaturamento - Regular"/>
    <x v="2"/>
    <x v="1"/>
    <x v="0"/>
    <x v="0"/>
    <x v="0"/>
    <x v="0"/>
    <x v="1"/>
    <x v="2"/>
    <n v="0"/>
    <n v="0"/>
    <n v="-0.24099999999999999"/>
    <n v="-0.24099999999999999"/>
    <n v="-0.24099999999999999"/>
    <n v="-0.24099999999999999"/>
    <n v="0"/>
    <s v="CATIVO"/>
    <n v="0"/>
    <n v="0"/>
    <n v="74"/>
    <n v="21"/>
    <n v="0"/>
    <n v="724.89"/>
    <n v="177.53"/>
    <m/>
    <n v="903.99555553454752"/>
    <n v="191.42595690019044"/>
    <n v="0"/>
    <n v="-29.65505000000001"/>
    <n v="0"/>
    <n v="-35.999534249559808"/>
    <x v="0"/>
  </r>
  <r>
    <s v="Regular"/>
    <x v="2"/>
    <x v="1"/>
    <x v="0"/>
    <x v="0"/>
    <x v="0"/>
    <x v="0"/>
    <x v="1"/>
    <x v="3"/>
    <n v="0"/>
    <n v="0"/>
    <n v="118.70099999999999"/>
    <n v="118.70099999999999"/>
    <n v="118.70099999999999"/>
    <n v="118.70099999999999"/>
    <n v="261"/>
    <s v="CATIVO"/>
    <n v="0"/>
    <n v="0"/>
    <n v="74"/>
    <n v="21"/>
    <n v="0"/>
    <n v="724.89"/>
    <n v="177.53"/>
    <m/>
    <n v="903.99555553454752"/>
    <n v="191.42595690019044"/>
    <n v="0"/>
    <n v="14606.158050000004"/>
    <n v="0"/>
    <n v="17731.040311024888"/>
    <x v="0"/>
  </r>
  <r>
    <s v="Refaturamento - Regular"/>
    <x v="2"/>
    <x v="1"/>
    <x v="0"/>
    <x v="0"/>
    <x v="0"/>
    <x v="0"/>
    <x v="1"/>
    <x v="3"/>
    <n v="0"/>
    <n v="0"/>
    <n v="-0.22700000000000001"/>
    <n v="-0.22700000000000001"/>
    <n v="-0.22700000000000001"/>
    <n v="-0.22700000000000001"/>
    <n v="0"/>
    <s v="CATIVO"/>
    <n v="0"/>
    <n v="0"/>
    <n v="74"/>
    <n v="21"/>
    <n v="0"/>
    <n v="724.89"/>
    <n v="177.53"/>
    <m/>
    <n v="903.99555553454752"/>
    <n v="191.42595690019044"/>
    <n v="0"/>
    <n v="-27.93235000000001"/>
    <n v="0"/>
    <n v="-33.908274998548038"/>
    <x v="0"/>
  </r>
  <r>
    <s v="Regular"/>
    <x v="2"/>
    <x v="1"/>
    <x v="0"/>
    <x v="0"/>
    <x v="0"/>
    <x v="0"/>
    <x v="1"/>
    <x v="4"/>
    <n v="0"/>
    <n v="0"/>
    <n v="122.214"/>
    <n v="122.214"/>
    <n v="122.214"/>
    <n v="122.214"/>
    <n v="261"/>
    <s v="CATIVO"/>
    <n v="0"/>
    <n v="0"/>
    <n v="74"/>
    <n v="21"/>
    <n v="0"/>
    <n v="724.89"/>
    <n v="177.53"/>
    <m/>
    <n v="903.99555553454752"/>
    <n v="191.42595690019044"/>
    <n v="0"/>
    <n v="15038.432700000005"/>
    <n v="0"/>
    <n v="18255.797007368059"/>
    <x v="0"/>
  </r>
  <r>
    <s v="Regular"/>
    <x v="2"/>
    <x v="1"/>
    <x v="0"/>
    <x v="0"/>
    <x v="0"/>
    <x v="0"/>
    <x v="1"/>
    <x v="5"/>
    <n v="0"/>
    <n v="0"/>
    <n v="131.24199999999999"/>
    <n v="131.24199999999999"/>
    <n v="131.24199999999999"/>
    <n v="131.24199999999999"/>
    <n v="261"/>
    <s v="CATIVO"/>
    <n v="0"/>
    <n v="0"/>
    <n v="74"/>
    <n v="21"/>
    <n v="0"/>
    <n v="724.89"/>
    <n v="177.53"/>
    <m/>
    <n v="903.99555553454752"/>
    <n v="191.42595690019044"/>
    <n v="0"/>
    <n v="16149.328100000004"/>
    <n v="0"/>
    <n v="19604.36047294908"/>
    <x v="0"/>
  </r>
  <r>
    <s v="Regular"/>
    <x v="2"/>
    <x v="1"/>
    <x v="0"/>
    <x v="0"/>
    <x v="0"/>
    <x v="0"/>
    <x v="1"/>
    <x v="6"/>
    <n v="0"/>
    <n v="0"/>
    <n v="116.65600000000001"/>
    <n v="116.65600000000001"/>
    <n v="116.65600000000001"/>
    <n v="116.65600000000001"/>
    <n v="256"/>
    <s v="CATIVO"/>
    <n v="0"/>
    <n v="0"/>
    <n v="74"/>
    <n v="21"/>
    <n v="0"/>
    <n v="724.89"/>
    <n v="177.53"/>
    <m/>
    <n v="903.99555553454752"/>
    <n v="191.42595690019044"/>
    <n v="0"/>
    <n v="14354.520800000006"/>
    <n v="0"/>
    <n v="17425.567084716386"/>
    <x v="0"/>
  </r>
  <r>
    <s v="Sistema de Compensação"/>
    <x v="2"/>
    <x v="1"/>
    <x v="0"/>
    <x v="0"/>
    <x v="0"/>
    <x v="0"/>
    <x v="1"/>
    <x v="6"/>
    <n v="0"/>
    <n v="0"/>
    <n v="1.3080000000000001"/>
    <n v="1.3080000000000001"/>
    <n v="1.3080000000000001"/>
    <n v="1.3080000000000001"/>
    <n v="1"/>
    <s v="CATIVO"/>
    <n v="0"/>
    <n v="0"/>
    <n v="74"/>
    <n v="21"/>
    <n v="0"/>
    <n v="724.89"/>
    <n v="177.53"/>
    <m/>
    <n v="903.99555553454752"/>
    <n v="191.42595690019044"/>
    <n v="0"/>
    <n v="160.94940000000005"/>
    <n v="0"/>
    <n v="195.38336430881424"/>
    <x v="0"/>
  </r>
  <r>
    <s v="Regular"/>
    <x v="2"/>
    <x v="1"/>
    <x v="0"/>
    <x v="0"/>
    <x v="0"/>
    <x v="0"/>
    <x v="1"/>
    <x v="7"/>
    <n v="0"/>
    <n v="0"/>
    <n v="125.11799999999999"/>
    <n v="125.11799999999999"/>
    <n v="125.11799999999999"/>
    <n v="125.11799999999999"/>
    <n v="256"/>
    <s v="CATIVO"/>
    <n v="0"/>
    <n v="0"/>
    <n v="74"/>
    <n v="21"/>
    <n v="0"/>
    <n v="724.89"/>
    <n v="177.53"/>
    <m/>
    <n v="903.99555553454752"/>
    <n v="191.42595690019044"/>
    <n v="0"/>
    <n v="15395.769900000005"/>
    <n v="0"/>
    <n v="18689.583926292216"/>
    <x v="0"/>
  </r>
  <r>
    <s v="Refaturamento - Regular"/>
    <x v="2"/>
    <x v="1"/>
    <x v="0"/>
    <x v="0"/>
    <x v="0"/>
    <x v="0"/>
    <x v="1"/>
    <x v="7"/>
    <n v="0"/>
    <n v="0"/>
    <n v="-0.80100000000000005"/>
    <n v="-0.80100000000000005"/>
    <n v="-0.80100000000000005"/>
    <n v="-0.80100000000000005"/>
    <n v="0"/>
    <s v="CATIVO"/>
    <n v="0"/>
    <n v="0"/>
    <n v="74"/>
    <n v="21"/>
    <n v="0"/>
    <n v="724.89"/>
    <n v="177.53"/>
    <m/>
    <n v="903.99555553454752"/>
    <n v="191.42595690019044"/>
    <n v="0"/>
    <n v="-98.563050000000032"/>
    <n v="0"/>
    <n v="-119.64990429003073"/>
    <x v="0"/>
  </r>
  <r>
    <s v="Sistema de Compensação"/>
    <x v="2"/>
    <x v="1"/>
    <x v="0"/>
    <x v="0"/>
    <x v="0"/>
    <x v="0"/>
    <x v="1"/>
    <x v="7"/>
    <n v="0"/>
    <n v="0"/>
    <n v="0.88"/>
    <n v="0.88"/>
    <n v="0.88"/>
    <n v="0.88"/>
    <n v="1"/>
    <s v="CATIVO"/>
    <n v="0"/>
    <n v="0"/>
    <n v="74"/>
    <n v="21"/>
    <n v="0"/>
    <n v="724.89"/>
    <n v="177.53"/>
    <m/>
    <n v="903.99555553454752"/>
    <n v="191.42595690019044"/>
    <n v="0"/>
    <n v="108.28400000000003"/>
    <n v="0"/>
    <n v="131.4505814921686"/>
    <x v="0"/>
  </r>
  <r>
    <s v="Regular"/>
    <x v="2"/>
    <x v="1"/>
    <x v="0"/>
    <x v="0"/>
    <x v="0"/>
    <x v="0"/>
    <x v="1"/>
    <x v="8"/>
    <n v="0"/>
    <n v="0"/>
    <n v="129.33799999999999"/>
    <n v="129.33799999999999"/>
    <n v="129.33799999999999"/>
    <n v="129.33799999999999"/>
    <n v="253"/>
    <s v="CATIVO"/>
    <n v="0"/>
    <n v="0"/>
    <n v="74"/>
    <n v="21"/>
    <n v="0"/>
    <n v="724.89"/>
    <n v="177.53"/>
    <m/>
    <n v="903.99555553454752"/>
    <n v="191.42595690019044"/>
    <n v="0"/>
    <n v="15915.040900000004"/>
    <n v="0"/>
    <n v="19319.949214811477"/>
    <x v="0"/>
  </r>
  <r>
    <s v="Sistema de Compensação"/>
    <x v="2"/>
    <x v="1"/>
    <x v="0"/>
    <x v="0"/>
    <x v="0"/>
    <x v="0"/>
    <x v="1"/>
    <x v="8"/>
    <n v="0"/>
    <n v="0"/>
    <n v="0.79500000000000004"/>
    <n v="0.79500000000000004"/>
    <n v="0.79500000000000004"/>
    <n v="0.79500000000000004"/>
    <n v="1"/>
    <s v="CATIVO"/>
    <n v="0"/>
    <n v="0"/>
    <n v="74"/>
    <n v="21"/>
    <n v="0"/>
    <n v="724.89"/>
    <n v="177.53"/>
    <m/>
    <n v="903.99555553454752"/>
    <n v="191.42595690019044"/>
    <n v="0"/>
    <n v="97.824750000000037"/>
    <n v="0"/>
    <n v="118.7536503253114"/>
    <x v="0"/>
  </r>
  <r>
    <s v="Regular"/>
    <x v="2"/>
    <x v="1"/>
    <x v="0"/>
    <x v="0"/>
    <x v="0"/>
    <x v="0"/>
    <x v="1"/>
    <x v="9"/>
    <n v="0"/>
    <n v="0"/>
    <n v="132.16300000000001"/>
    <n v="132.16300000000001"/>
    <n v="132.16300000000001"/>
    <n v="132.16300000000001"/>
    <n v="248"/>
    <s v="CATIVO"/>
    <n v="0"/>
    <n v="0"/>
    <n v="74"/>
    <n v="21"/>
    <n v="0"/>
    <n v="724.89"/>
    <n v="177.53"/>
    <m/>
    <n v="903.99555553454752"/>
    <n v="191.42595690019044"/>
    <n v="0"/>
    <n v="16262.657150000006"/>
    <n v="0"/>
    <n v="19741.935456533498"/>
    <x v="0"/>
  </r>
  <r>
    <s v="Sistema de Compensação"/>
    <x v="2"/>
    <x v="1"/>
    <x v="0"/>
    <x v="0"/>
    <x v="0"/>
    <x v="0"/>
    <x v="1"/>
    <x v="9"/>
    <n v="0"/>
    <n v="0"/>
    <n v="1.927"/>
    <n v="1.927"/>
    <n v="1.927"/>
    <n v="1.927"/>
    <n v="2"/>
    <s v="CATIVO"/>
    <n v="0"/>
    <n v="0"/>
    <n v="74"/>
    <n v="21"/>
    <n v="0"/>
    <n v="724.89"/>
    <n v="177.53"/>
    <m/>
    <n v="903.99555553454752"/>
    <n v="191.42595690019044"/>
    <n v="0"/>
    <n v="237.11735000000007"/>
    <n v="0"/>
    <n v="287.84689833569189"/>
    <x v="0"/>
  </r>
  <r>
    <s v="Regular"/>
    <x v="2"/>
    <x v="1"/>
    <x v="0"/>
    <x v="0"/>
    <x v="0"/>
    <x v="0"/>
    <x v="1"/>
    <x v="10"/>
    <n v="0"/>
    <n v="0"/>
    <n v="131.50399999999999"/>
    <n v="131.50399999999999"/>
    <n v="131.50399999999999"/>
    <n v="131.50399999999999"/>
    <n v="247"/>
    <s v="CATIVO"/>
    <n v="0"/>
    <n v="0"/>
    <n v="74"/>
    <n v="21"/>
    <n v="0"/>
    <n v="724.89"/>
    <n v="177.53"/>
    <m/>
    <n v="903.99555553454752"/>
    <n v="191.42595690019044"/>
    <n v="0"/>
    <n v="16181.567200000005"/>
    <n v="0"/>
    <n v="19643.496896075154"/>
    <x v="0"/>
  </r>
  <r>
    <s v="Sistema de Compensação"/>
    <x v="2"/>
    <x v="1"/>
    <x v="0"/>
    <x v="0"/>
    <x v="0"/>
    <x v="0"/>
    <x v="1"/>
    <x v="10"/>
    <n v="0"/>
    <n v="0"/>
    <n v="0.316"/>
    <n v="0.316"/>
    <n v="0.316"/>
    <n v="0.316"/>
    <n v="2"/>
    <s v="CATIVO"/>
    <n v="0"/>
    <n v="0"/>
    <n v="74"/>
    <n v="21"/>
    <n v="0"/>
    <n v="724.89"/>
    <n v="177.53"/>
    <m/>
    <n v="903.99555553454752"/>
    <n v="191.42595690019044"/>
    <n v="0"/>
    <n v="38.883800000000015"/>
    <n v="0"/>
    <n v="47.202708808551449"/>
    <x v="0"/>
  </r>
  <r>
    <s v="Regular"/>
    <x v="2"/>
    <x v="1"/>
    <x v="0"/>
    <x v="0"/>
    <x v="0"/>
    <x v="0"/>
    <x v="1"/>
    <x v="11"/>
    <n v="0"/>
    <n v="0"/>
    <n v="122.595"/>
    <n v="122.595"/>
    <n v="122.595"/>
    <n v="122.595"/>
    <n v="246"/>
    <s v="CATIVO"/>
    <n v="0"/>
    <n v="0"/>
    <n v="74"/>
    <n v="21"/>
    <n v="0"/>
    <n v="724.89"/>
    <n v="177.53"/>
    <m/>
    <n v="903.99555553454752"/>
    <n v="191.42595690019044"/>
    <n v="0"/>
    <n v="15085.314750000005"/>
    <n v="0"/>
    <n v="18312.709134127737"/>
    <x v="0"/>
  </r>
  <r>
    <s v="Sistema de Compensação"/>
    <x v="2"/>
    <x v="1"/>
    <x v="0"/>
    <x v="0"/>
    <x v="0"/>
    <x v="0"/>
    <x v="1"/>
    <x v="11"/>
    <n v="0"/>
    <n v="0"/>
    <n v="1.458"/>
    <n v="1.458"/>
    <n v="1.458"/>
    <n v="1.458"/>
    <n v="3"/>
    <s v="CATIVO"/>
    <n v="0"/>
    <n v="0"/>
    <n v="74"/>
    <n v="21"/>
    <n v="0"/>
    <n v="724.89"/>
    <n v="177.53"/>
    <m/>
    <n v="903.99555553454752"/>
    <n v="191.42595690019044"/>
    <n v="0"/>
    <n v="179.40690000000006"/>
    <n v="0"/>
    <n v="217.7897134267975"/>
    <x v="0"/>
  </r>
  <r>
    <s v="Regular"/>
    <x v="3"/>
    <x v="1"/>
    <x v="2"/>
    <x v="7"/>
    <x v="0"/>
    <x v="0"/>
    <x v="1"/>
    <x v="0"/>
    <n v="0"/>
    <n v="0"/>
    <n v="7.5960000000000001"/>
    <n v="7.1402399999999995"/>
    <n v="7.5960000000000001"/>
    <n v="7.1402399999999995"/>
    <n v="3"/>
    <s v="CATIVO"/>
    <n v="0"/>
    <n v="0"/>
    <n v="55"/>
    <n v="6"/>
    <n v="0"/>
    <n v="823.74"/>
    <n v="201.73"/>
    <m/>
    <n v="1027.267676743804"/>
    <n v="217.52949647748915"/>
    <n v="0"/>
    <n v="467.3682072000006"/>
    <n v="0"/>
    <n v="567.32875966733729"/>
    <x v="3"/>
  </r>
  <r>
    <s v="Regular"/>
    <x v="3"/>
    <x v="1"/>
    <x v="2"/>
    <x v="7"/>
    <x v="0"/>
    <x v="0"/>
    <x v="1"/>
    <x v="1"/>
    <n v="0"/>
    <n v="0"/>
    <n v="7.8360000000000003"/>
    <n v="7.3658399999999995"/>
    <n v="7.8360000000000003"/>
    <n v="7.3658399999999995"/>
    <n v="3"/>
    <s v="CATIVO"/>
    <n v="0"/>
    <n v="0"/>
    <n v="55"/>
    <n v="6"/>
    <n v="0"/>
    <n v="823.74"/>
    <n v="201.73"/>
    <m/>
    <n v="1027.267676743804"/>
    <n v="217.52949647748915"/>
    <n v="0"/>
    <n v="482.13497520000084"/>
    <n v="0"/>
    <n v="585.25383896172423"/>
    <x v="3"/>
  </r>
  <r>
    <s v="Regular"/>
    <x v="3"/>
    <x v="1"/>
    <x v="2"/>
    <x v="7"/>
    <x v="0"/>
    <x v="0"/>
    <x v="1"/>
    <x v="2"/>
    <n v="0"/>
    <n v="0"/>
    <n v="8.2249999999999996"/>
    <n v="7.7314999999999996"/>
    <n v="8.2249999999999996"/>
    <n v="7.7314999999999996"/>
    <n v="3"/>
    <s v="CATIVO"/>
    <n v="0"/>
    <n v="0"/>
    <n v="55"/>
    <n v="6"/>
    <n v="0"/>
    <n v="823.74"/>
    <n v="201.73"/>
    <m/>
    <n v="1027.267676743804"/>
    <n v="217.52949647748915"/>
    <n v="0"/>
    <n v="506.06944500000009"/>
    <n v="0"/>
    <n v="614.30740498470823"/>
    <x v="3"/>
  </r>
  <r>
    <s v="Regular"/>
    <x v="3"/>
    <x v="1"/>
    <x v="2"/>
    <x v="7"/>
    <x v="0"/>
    <x v="0"/>
    <x v="1"/>
    <x v="3"/>
    <n v="0"/>
    <n v="0"/>
    <n v="8.1340000000000003"/>
    <n v="7.6459599999999996"/>
    <n v="8.1340000000000003"/>
    <n v="7.6459599999999996"/>
    <n v="3"/>
    <s v="CATIVO"/>
    <n v="0"/>
    <n v="0"/>
    <n v="55"/>
    <n v="6"/>
    <n v="0"/>
    <n v="823.74"/>
    <n v="201.73"/>
    <m/>
    <n v="1027.267676743804"/>
    <n v="217.52949647748915"/>
    <n v="0"/>
    <n v="500.47037880000067"/>
    <n v="0"/>
    <n v="607.51081241892075"/>
    <x v="3"/>
  </r>
  <r>
    <s v="Regular"/>
    <x v="3"/>
    <x v="1"/>
    <x v="2"/>
    <x v="7"/>
    <x v="0"/>
    <x v="0"/>
    <x v="1"/>
    <x v="4"/>
    <n v="0"/>
    <n v="0"/>
    <n v="9.1270000000000007"/>
    <n v="8.5793800000000005"/>
    <n v="9.1270000000000007"/>
    <n v="8.5793800000000005"/>
    <n v="3"/>
    <s v="CATIVO"/>
    <n v="0"/>
    <n v="0"/>
    <n v="55"/>
    <n v="6"/>
    <n v="0"/>
    <n v="823.74"/>
    <n v="201.73"/>
    <m/>
    <n v="1027.267676743804"/>
    <n v="217.52949647748915"/>
    <n v="0"/>
    <n v="561.56788140000026"/>
    <n v="0"/>
    <n v="681.67582799944478"/>
    <x v="3"/>
  </r>
  <r>
    <s v="Regular"/>
    <x v="3"/>
    <x v="1"/>
    <x v="2"/>
    <x v="7"/>
    <x v="0"/>
    <x v="0"/>
    <x v="1"/>
    <x v="5"/>
    <n v="0"/>
    <n v="0"/>
    <n v="8.516"/>
    <n v="8.0050399999999993"/>
    <n v="8.516"/>
    <n v="8.0050399999999993"/>
    <n v="3"/>
    <s v="CATIVO"/>
    <n v="0"/>
    <n v="0"/>
    <n v="55"/>
    <n v="6"/>
    <n v="0"/>
    <n v="823.74"/>
    <n v="201.73"/>
    <m/>
    <n v="1027.267676743804"/>
    <n v="217.52949647748915"/>
    <n v="0"/>
    <n v="523.97415120000073"/>
    <n v="0"/>
    <n v="636.04156362915296"/>
    <x v="3"/>
  </r>
  <r>
    <s v="Regular"/>
    <x v="3"/>
    <x v="1"/>
    <x v="2"/>
    <x v="7"/>
    <x v="0"/>
    <x v="0"/>
    <x v="1"/>
    <x v="6"/>
    <n v="0"/>
    <n v="0"/>
    <n v="8.0039999999999996"/>
    <n v="7.5237600000000002"/>
    <n v="8.0039999999999996"/>
    <n v="7.5237600000000002"/>
    <n v="3"/>
    <s v="CATIVO"/>
    <n v="0"/>
    <n v="0"/>
    <n v="55"/>
    <n v="6"/>
    <n v="0"/>
    <n v="823.74"/>
    <n v="201.73"/>
    <m/>
    <n v="1027.267676743804"/>
    <n v="217.52949647748915"/>
    <n v="0"/>
    <n v="492.4717127999993"/>
    <n v="0"/>
    <n v="597.80139446779299"/>
    <x v="3"/>
  </r>
  <r>
    <s v="Regular"/>
    <x v="3"/>
    <x v="1"/>
    <x v="2"/>
    <x v="7"/>
    <x v="0"/>
    <x v="0"/>
    <x v="1"/>
    <x v="7"/>
    <n v="0"/>
    <n v="0"/>
    <n v="6.9169999999999998"/>
    <n v="6.5019799999999996"/>
    <n v="6.9169999999999998"/>
    <n v="6.5019799999999996"/>
    <n v="3"/>
    <s v="CATIVO"/>
    <n v="0"/>
    <n v="0"/>
    <n v="55"/>
    <n v="6"/>
    <n v="0"/>
    <n v="823.74"/>
    <n v="201.73"/>
    <m/>
    <n v="1027.267676743804"/>
    <n v="217.52949647748915"/>
    <n v="0"/>
    <n v="425.59055940000019"/>
    <n v="0"/>
    <n v="516.61572283030125"/>
    <x v="3"/>
  </r>
  <r>
    <s v="Regular"/>
    <x v="3"/>
    <x v="1"/>
    <x v="2"/>
    <x v="7"/>
    <x v="0"/>
    <x v="0"/>
    <x v="1"/>
    <x v="8"/>
    <n v="0"/>
    <n v="0"/>
    <n v="6.3120000000000003"/>
    <n v="5.9332799999999999"/>
    <n v="6.3120000000000003"/>
    <n v="5.9332799999999999"/>
    <n v="3"/>
    <s v="CATIVO"/>
    <n v="0"/>
    <n v="0"/>
    <n v="55"/>
    <n v="6"/>
    <n v="0"/>
    <n v="823.74"/>
    <n v="201.73"/>
    <m/>
    <n v="1027.267676743804"/>
    <n v="217.52949647748915"/>
    <n v="0"/>
    <n v="388.36599840000036"/>
    <n v="0"/>
    <n v="471.42958544236865"/>
    <x v="3"/>
  </r>
  <r>
    <s v="Regular"/>
    <x v="3"/>
    <x v="1"/>
    <x v="2"/>
    <x v="7"/>
    <x v="0"/>
    <x v="0"/>
    <x v="1"/>
    <x v="9"/>
    <n v="0"/>
    <n v="0"/>
    <n v="7.1479999999999997"/>
    <n v="6.7191200000000002"/>
    <n v="7.1479999999999997"/>
    <n v="6.7191200000000002"/>
    <n v="3"/>
    <s v="CATIVO"/>
    <n v="0"/>
    <n v="0"/>
    <n v="55"/>
    <n v="6"/>
    <n v="0"/>
    <n v="823.74"/>
    <n v="201.73"/>
    <m/>
    <n v="1027.267676743804"/>
    <n v="217.52949647748915"/>
    <n v="0"/>
    <n v="439.80357359999942"/>
    <n v="0"/>
    <n v="533.8686116511476"/>
    <x v="3"/>
  </r>
  <r>
    <s v="Regular"/>
    <x v="3"/>
    <x v="1"/>
    <x v="2"/>
    <x v="7"/>
    <x v="0"/>
    <x v="0"/>
    <x v="1"/>
    <x v="10"/>
    <n v="0"/>
    <n v="0"/>
    <n v="6.2770000000000001"/>
    <n v="5.9003800000000002"/>
    <n v="6.2770000000000001"/>
    <n v="5.9003800000000002"/>
    <n v="3"/>
    <s v="CATIVO"/>
    <n v="0"/>
    <n v="0"/>
    <n v="55"/>
    <n v="6"/>
    <n v="0"/>
    <n v="823.74"/>
    <n v="201.73"/>
    <m/>
    <n v="1027.267676743804"/>
    <n v="217.52949647748915"/>
    <n v="0"/>
    <n v="386.21251139999993"/>
    <n v="0"/>
    <n v="468.81551137860339"/>
    <x v="3"/>
  </r>
  <r>
    <s v="Regular"/>
    <x v="3"/>
    <x v="1"/>
    <x v="2"/>
    <x v="7"/>
    <x v="0"/>
    <x v="0"/>
    <x v="1"/>
    <x v="11"/>
    <n v="0"/>
    <n v="0"/>
    <n v="5.8730000000000002"/>
    <n v="5.5206200000000001"/>
    <n v="5.8730000000000002"/>
    <n v="5.5206200000000001"/>
    <n v="3"/>
    <s v="CATIVO"/>
    <n v="0"/>
    <n v="0"/>
    <n v="55"/>
    <n v="6"/>
    <n v="0"/>
    <n v="823.74"/>
    <n v="201.73"/>
    <m/>
    <n v="1027.267676743804"/>
    <n v="217.52949647748915"/>
    <n v="0"/>
    <n v="361.35511860000008"/>
    <n v="0"/>
    <n v="438.6416278997194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1282C-0412-4F12-ADDA-69C7F034E44D}" name="Efeito Resumo" cacheId="75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32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9">
        <item x="0"/>
        <item x="4"/>
        <item x="7"/>
        <item x="1"/>
        <item x="5"/>
        <item x="3"/>
        <item x="2"/>
        <item x="6"/>
        <item t="default"/>
      </items>
    </pivotField>
    <pivotField axis="axisRow" showAll="0">
      <items count="10">
        <item x="6"/>
        <item x="7"/>
        <item x="8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20">
    <i>
      <x/>
    </i>
    <i r="1">
      <x/>
    </i>
    <i r="2">
      <x v="1"/>
    </i>
    <i r="3">
      <x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1"/>
    </i>
    <i r="6">
      <x/>
    </i>
    <i r="7">
      <x/>
    </i>
    <i r="8">
      <x v="8"/>
    </i>
    <i r="8">
      <x v="9"/>
    </i>
    <i r="8">
      <x v="10"/>
    </i>
    <i r="8">
      <x v="11"/>
    </i>
    <i r="7">
      <x v="1"/>
    </i>
    <i r="8">
      <x v="8"/>
    </i>
    <i r="8">
      <x v="9"/>
    </i>
    <i r="8">
      <x v="10"/>
    </i>
    <i r="8">
      <x v="11"/>
    </i>
    <i r="7">
      <x v="2"/>
    </i>
    <i r="8">
      <x v="8"/>
    </i>
    <i r="8">
      <x v="9"/>
    </i>
    <i r="8">
      <x v="10"/>
    </i>
    <i r="8">
      <x v="11"/>
    </i>
    <i r="3">
      <x v="6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1">
      <x v="1"/>
    </i>
    <i r="2">
      <x/>
    </i>
    <i r="3">
      <x v="5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/>
    </i>
    <i r="3">
      <x v="2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198">
    <format dxfId="464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6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62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61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60">
      <pivotArea type="all" dataOnly="0" outline="0" fieldPosition="0"/>
    </format>
    <format dxfId="459">
      <pivotArea outline="0" collapsedLevelsAreSubtotals="1" fieldPosition="0"/>
    </format>
    <format dxfId="458">
      <pivotArea field="16" type="button" dataOnly="0" labelOnly="1" outline="0" axis="axisRow" fieldPosition="0"/>
    </format>
    <format dxfId="457">
      <pivotArea dataOnly="0" labelOnly="1" fieldPosition="0">
        <references count="1">
          <reference field="16" count="0"/>
        </references>
      </pivotArea>
    </format>
    <format dxfId="456">
      <pivotArea dataOnly="0" labelOnly="1" fieldPosition="0">
        <references count="2">
          <reference field="1" count="0"/>
          <reference field="16" count="0" selected="0"/>
        </references>
      </pivotArea>
    </format>
    <format dxfId="45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45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45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452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451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45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3"/>
            <x v="6"/>
          </reference>
          <reference field="16" count="0" selected="0"/>
        </references>
      </pivotArea>
    </format>
    <format dxfId="44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4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44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46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44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4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4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44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4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44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3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3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3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3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35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3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3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3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3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0" selected="0"/>
        </references>
      </pivotArea>
    </format>
    <format dxfId="43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0" selected="0"/>
        </references>
      </pivotArea>
    </format>
    <format dxfId="42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0" selected="0"/>
        </references>
      </pivotArea>
    </format>
    <format dxfId="42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0" selected="0"/>
        </references>
      </pivotArea>
    </format>
    <format dxfId="42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1"/>
          </reference>
          <reference field="16" count="0" selected="0"/>
        </references>
      </pivotArea>
    </format>
    <format dxfId="42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0"/>
          </reference>
          <reference field="16" count="0" selected="0"/>
        </references>
      </pivotArea>
    </format>
    <format dxfId="42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2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2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2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2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2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1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0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3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40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40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39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9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8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8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87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37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7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5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6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63">
      <pivotArea type="all" dataOnly="0" outline="0" fieldPosition="0"/>
    </format>
    <format dxfId="362">
      <pivotArea outline="0" collapsedLevelsAreSubtotals="1" fieldPosition="0"/>
    </format>
    <format dxfId="361">
      <pivotArea field="16" type="button" dataOnly="0" labelOnly="1" outline="0" axis="axisRow" fieldPosition="0"/>
    </format>
    <format dxfId="360">
      <pivotArea dataOnly="0" labelOnly="1" fieldPosition="0">
        <references count="1">
          <reference field="16" count="0"/>
        </references>
      </pivotArea>
    </format>
    <format dxfId="359">
      <pivotArea dataOnly="0" labelOnly="1" fieldPosition="0">
        <references count="2">
          <reference field="1" count="0"/>
          <reference field="16" count="0" selected="0"/>
        </references>
      </pivotArea>
    </format>
    <format dxfId="35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35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356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35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354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353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3"/>
            <x v="6"/>
          </reference>
          <reference field="16" count="0" selected="0"/>
        </references>
      </pivotArea>
    </format>
    <format dxfId="35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5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35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49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4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34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4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34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4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4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33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38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33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3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3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3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0" selected="0"/>
        </references>
      </pivotArea>
    </format>
    <format dxfId="33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0" selected="0"/>
        </references>
      </pivotArea>
    </format>
    <format dxfId="33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0" selected="0"/>
        </references>
      </pivotArea>
    </format>
    <format dxfId="33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0" selected="0"/>
        </references>
      </pivotArea>
    </format>
    <format dxfId="33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1"/>
          </reference>
          <reference field="16" count="0" selected="0"/>
        </references>
      </pivotArea>
    </format>
    <format dxfId="32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0"/>
          </reference>
          <reference field="16" count="0" selected="0"/>
        </references>
      </pivotArea>
    </format>
    <format dxfId="32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1"/>
          </reference>
          <reference field="16" count="0" selected="0"/>
        </references>
      </pivotArea>
    </format>
    <format dxfId="322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2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2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1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6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30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30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0" selected="0"/>
        </references>
      </pivotArea>
    </format>
    <format dxfId="30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0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8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8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28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28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28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28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28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6" count="0" selected="0"/>
        </references>
      </pivotArea>
    </format>
    <format dxfId="28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8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6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A6386-EF8A-4EF7-8127-AA53C6653C3C}" name="Subsidio Resumo" cacheId="7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167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5">
        <item x="3"/>
        <item x="2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66">
    <i>
      <x/>
    </i>
    <i r="1">
      <x v="3"/>
    </i>
    <i r="2">
      <x/>
    </i>
    <i r="3">
      <x v="2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 v="1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1"/>
    </i>
    <i r="2">
      <x/>
    </i>
    <i r="3">
      <x/>
    </i>
    <i r="4">
      <x v="3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26">
    <format dxfId="266">
      <pivotArea outline="0" collapsedLevelsAreSubtotals="1" fieldPosition="0"/>
    </format>
    <format dxfId="26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31" type="button" dataOnly="0" labelOnly="1" outline="0" axis="axisRow" fieldPosition="0"/>
    </format>
    <format dxfId="261">
      <pivotArea dataOnly="0" labelOnly="1" fieldPosition="0">
        <references count="1">
          <reference field="31" count="0"/>
        </references>
      </pivotArea>
    </format>
    <format dxfId="260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59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5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57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5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5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5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5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5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5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5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4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4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4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24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4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4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4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4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4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4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3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3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3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3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3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2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2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2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2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2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2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2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2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2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1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1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1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1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20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20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0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0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20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field="31" type="button" dataOnly="0" labelOnly="1" outline="0" axis="axisRow" fieldPosition="0"/>
    </format>
    <format dxfId="199">
      <pivotArea dataOnly="0" labelOnly="1" fieldPosition="0">
        <references count="1">
          <reference field="31" count="0"/>
        </references>
      </pivotArea>
    </format>
    <format dxfId="198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197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19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195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9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19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19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18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8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8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8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18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18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18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18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17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7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7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7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7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7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6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6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6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6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5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5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5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5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14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14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  <reference field="31" count="1" selected="0">
            <x v="2"/>
          </reference>
        </references>
      </pivotArea>
    </format>
    <format dxfId="14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4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1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BBE8F1B-B910-4BC9-80C8-F8F2A289E4AD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29D30D-3188-483E-8649-30F5171E123B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D7B22BA-3B1D-4987-A493-5A556ABF1203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ADAB1-1664-471A-BAFA-08D0E179F3D5}" name="Efeito" displayName="Efeito" ref="A1:AG298" totalsRowShown="0" headerRowDxfId="533" dataDxfId="532">
  <autoFilter ref="A1:AG298" xr:uid="{F25ADAB1-1664-471A-BAFA-08D0E179F3D5}"/>
  <tableColumns count="33">
    <tableColumn id="1" xr3:uid="{5394B91A-62BD-470E-AC60-CFEE68B43CDD}" name="TipoMercado" dataDxfId="531"/>
    <tableColumn id="2" xr3:uid="{A40FBBD8-F46D-4369-A2BA-0CF9BDDDDA6A}" name="Subgrupo" dataDxfId="530"/>
    <tableColumn id="3" xr3:uid="{3BF3AA34-F9E1-43E8-88BC-79ACD81330D8}" name="Modalidade" dataDxfId="529"/>
    <tableColumn id="4" xr3:uid="{E8D46704-F013-4013-95E0-83D5F0E922BA}" name="Classe" dataDxfId="528"/>
    <tableColumn id="5" xr3:uid="{CA4D451A-1512-4C7B-BACF-4E9B50F2BCFE}" name="Subclasse" dataDxfId="527"/>
    <tableColumn id="6" xr3:uid="{C0ADF587-FC2D-428A-B5F5-47DAAC8CE8DC}" name="Detalhe" dataDxfId="526"/>
    <tableColumn id="7" xr3:uid="{9D4457E7-2F60-4991-B6ED-F60441982C35}" name="Agente" dataDxfId="525"/>
    <tableColumn id="8" xr3:uid="{7F3D474B-5F9C-45EA-8414-472685121B64}" name="Posto" dataDxfId="524"/>
    <tableColumn id="9" xr3:uid="{81BFC4C7-341F-4465-B9A5-E3EBA76E0630}" name="AnoMes" dataDxfId="523"/>
    <tableColumn id="10" xr3:uid="{769FD78A-CB5E-4081-A7CB-03BFA9C1011A}" name="D" dataDxfId="522"/>
    <tableColumn id="11" xr3:uid="{0995225D-6E3A-4F4A-9C31-9812240C0884}" name="Daj" dataDxfId="521"/>
    <tableColumn id="12" xr3:uid="{50EF518D-B950-45D4-BCBF-D3E37390EA65}" name="TUSD_E" dataDxfId="520"/>
    <tableColumn id="13" xr3:uid="{605A93CD-1D12-4CE2-9CD3-74FC6DB9C529}" name="TUSD_Eaj" dataDxfId="519"/>
    <tableColumn id="14" xr3:uid="{8579C196-B396-4F85-99AF-6E9FD382151F}" name="TE_E" dataDxfId="518"/>
    <tableColumn id="15" xr3:uid="{0B57D2C3-0AEE-47DA-A427-508D4DB6B2A2}" name="TE_Eaj" dataDxfId="517"/>
    <tableColumn id="16" xr3:uid="{12AD5B61-655C-492A-B1E0-ACBDC6B79050}" name="UC" dataDxfId="516"/>
    <tableColumn id="17" xr3:uid="{E406708E-449A-4991-9B0A-E2D2E7B9D8A2}" name="OPÇÃO" dataDxfId="515"/>
    <tableColumn id="18" xr3:uid="{98393037-B05E-444F-8DE6-592EA26F09C1}" name="CóD. AUX." dataDxfId="514"/>
    <tableColumn id="19" xr3:uid="{EAA37F3C-9A5A-4B04-B787-7D451262BC22}" name="CóD. AUX. TUSD R$/kW" dataDxfId="513"/>
    <tableColumn id="20" xr3:uid="{FDFD0320-C5B6-4537-80CF-6A48A93C99BF}" name="CóD. AUX. TUSD R$/MWh" dataDxfId="512"/>
    <tableColumn id="21" xr3:uid="{C094D10C-0951-4C51-B0CB-2E4866C74726}" name="CóD. AUX. TE R$/MWh" dataDxfId="511"/>
    <tableColumn id="22" xr3:uid="{F0B36192-E72F-4088-A19D-1DE46ECC4B3E}" name="TUSD (R$/kW)" dataDxfId="510"/>
    <tableColumn id="23" xr3:uid="{60BA37B5-E54B-4502-AD5B-BDF9DA104F4B}" name="TUSD (R$/MWh)" dataDxfId="509"/>
    <tableColumn id="24" xr3:uid="{D26337D6-6242-48B8-A53D-2F5B2834B81D}" name="TE (R$/MWh)" dataDxfId="508"/>
    <tableColumn id="25" xr3:uid="{2CC37474-52B5-408B-8712-B2B270DD01DA}" name="TUSD (R$/kW) NOVA" dataDxfId="507"/>
    <tableColumn id="26" xr3:uid="{D54708D5-9642-4EE3-9B31-F932C39FF4D8}" name="TUSD (R$/MWh) NOVA" dataDxfId="506">
      <calculatedColumnFormula>('TUSD BE'!$AM$50+'TUSD BF'!$AM$50+'TUSD CVA'!$AM$50)*1</calculatedColumnFormula>
    </tableColumn>
    <tableColumn id="27" xr3:uid="{4F64EEB9-5BEA-4B36-BCFD-5DA5AF2FA9DE}" name="TE (R$/MWh) NOVA" dataDxfId="505">
      <calculatedColumnFormula>('TE BE'!$AA$40+'TE BF'!$AA$40+'TE CVA'!$AA$40)*1</calculatedColumnFormula>
    </tableColumn>
    <tableColumn id="28" xr3:uid="{F82340C6-CF52-4761-A9D1-4FD56C69E2BB}" name="RA0 ou RV - TUSD (kW)" dataDxfId="504"/>
    <tableColumn id="29" xr3:uid="{C9999BB4-770E-4E6B-821B-E3CC364CD480}" name="RA0 ou RV - TUSD (MWh)" dataDxfId="503"/>
    <tableColumn id="30" xr3:uid="{6C0DE07D-9A10-4B64-A2CB-8A8EA563123F}" name="RA0 ou RV - TE (MWh)" dataDxfId="502"/>
    <tableColumn id="31" xr3:uid="{D3C1F926-81DE-451A-BFAD-6207C2ACCCF9}" name="RA1 ou RRD - TUSD (kW)" dataDxfId="501"/>
    <tableColumn id="32" xr3:uid="{A41FEF4A-BC53-481D-8252-152AF31E2832}" name="RA1 ou RRD - TUSD (MWh)" dataDxfId="500"/>
    <tableColumn id="33" xr3:uid="{B5B486DB-F54E-484D-9549-58EAC2817159}" name="RA1 ou RRD - TE (MWh)" dataDxfId="4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C5089-0DF2-4AD2-8AAD-50CA5D03D549}" name="Subsidio" displayName="Subsidio" ref="A1:AF125" totalsRowShown="0" headerRowDxfId="498" dataDxfId="497">
  <autoFilter ref="A1:AF125" xr:uid="{9E0C5089-0DF2-4AD2-8AAD-50CA5D03D549}"/>
  <tableColumns count="32">
    <tableColumn id="1" xr3:uid="{9CFA9C56-5F18-4D5D-8FC7-B93709CDE1FC}" name="TipoMercado" dataDxfId="496"/>
    <tableColumn id="2" xr3:uid="{616CF8D6-D072-405B-A3FA-24482D88459D}" name="Subgrupo" dataDxfId="495"/>
    <tableColumn id="3" xr3:uid="{2832A72D-7AA8-4977-AC2A-369C3E3D402C}" name="Modalidade" dataDxfId="494"/>
    <tableColumn id="4" xr3:uid="{B1231306-9CB8-48AE-B825-83045EE259DF}" name="Classe" dataDxfId="493"/>
    <tableColumn id="5" xr3:uid="{7685DC50-6019-46B3-B30A-55C86B8E519A}" name="Subclasse" dataDxfId="492"/>
    <tableColumn id="6" xr3:uid="{A32B1A35-0339-473C-AF54-1335DC9AF75F}" name="Detalhe" dataDxfId="491"/>
    <tableColumn id="7" xr3:uid="{35B7D997-82C8-4B11-8A24-CA439E7FC6E3}" name="Agente" dataDxfId="490"/>
    <tableColumn id="8" xr3:uid="{193FE0C4-9395-4221-8B6C-47E7384B70A5}" name="Posto" dataDxfId="489"/>
    <tableColumn id="9" xr3:uid="{C2533AAB-AF4D-49B3-B57C-D7342C43E176}" name="AnoMes" dataDxfId="488"/>
    <tableColumn id="10" xr3:uid="{B69760F8-A86A-4009-A63B-4A37DA2E00B7}" name="D" dataDxfId="487"/>
    <tableColumn id="11" xr3:uid="{57665AD4-FBE7-4FF9-A1EB-E4DFFD9D1E5E}" name="Daj" dataDxfId="486"/>
    <tableColumn id="12" xr3:uid="{57631C4E-057F-4639-9B08-8A6036268DE8}" name="TUSD_E" dataDxfId="485"/>
    <tableColumn id="13" xr3:uid="{D906D69A-95D8-42D1-9B4A-1A9AF7C38349}" name="TUSD_Eaj" dataDxfId="484"/>
    <tableColumn id="14" xr3:uid="{034EF7BF-F77A-4BC2-A8FA-DB93D24A5293}" name="TE_E" dataDxfId="483"/>
    <tableColumn id="15" xr3:uid="{AA475781-0CEB-4588-97A9-44E34F45245A}" name="TE_Eaj" dataDxfId="482"/>
    <tableColumn id="16" xr3:uid="{61ABD93D-5AFA-43C5-BCA9-A0D258D27B64}" name="UC" dataDxfId="481"/>
    <tableColumn id="17" xr3:uid="{BDC0F5AD-53B2-469B-811D-9014074090C2}" name="OPÇÃO" dataDxfId="480"/>
    <tableColumn id="18" xr3:uid="{17B8B72E-2849-4E36-8167-B25EA3AAC3A6}" name="CóD. AUX." dataDxfId="479"/>
    <tableColumn id="19" xr3:uid="{79977445-BF3A-4370-BE78-5C6F6FD10C95}" name="CóD. AUX. TUSD R$/kW" dataDxfId="478"/>
    <tableColumn id="20" xr3:uid="{E637E055-B36D-4FCD-B8A0-A531D21C5306}" name="CóD. AUX. TUSD R$/MWh" dataDxfId="477"/>
    <tableColumn id="21" xr3:uid="{DD638ACE-97C2-4248-A620-CAB2B7EBC16B}" name="CóD. AUX. TE R$/MWh" dataDxfId="476"/>
    <tableColumn id="22" xr3:uid="{9E4EE55D-BF9A-4DB9-BA5D-57FF695C0839}" name="TUSD (R$/kW)" dataDxfId="475"/>
    <tableColumn id="23" xr3:uid="{EDDEB0A1-4C68-4E4A-A0BF-675D3E0D41FF}" name="TUSD (R$/MWh)" dataDxfId="474"/>
    <tableColumn id="24" xr3:uid="{AC513376-2F90-4BAA-B1C0-45ACAF96122F}" name="TE (R$/MWh)" dataDxfId="473"/>
    <tableColumn id="25" xr3:uid="{98A0142F-CB7D-4304-BD4F-0C4620A802D1}" name="TUSD (R$/kW) NOVA" dataDxfId="472"/>
    <tableColumn id="26" xr3:uid="{132352A4-5DB7-4D92-BBF7-BCE82F970FD3}" name="TUSD (R$/MWh) NOVA" dataDxfId="471">
      <calculatedColumnFormula>('TUSD BE'!$AM$48+'TUSD BF'!$AM$48+'TUSD CVA'!$AM$48)*1</calculatedColumnFormula>
    </tableColumn>
    <tableColumn id="27" xr3:uid="{48ACD0A2-347A-4FA2-8EC5-8D70278A9DDA}" name="TE (R$/MWh) NOVA" dataDxfId="470">
      <calculatedColumnFormula>('TE BE'!$AA$38+'TE BF'!$AA$38+'TE CVA'!$AA$38)*1</calculatedColumnFormula>
    </tableColumn>
    <tableColumn id="28" xr3:uid="{88424DC9-B85B-4E98-A4A1-D6DE55742CD9}" name="SUBSIDIO kW - TV" dataDxfId="469">
      <calculatedColumnFormula>(J2-K2)*V2</calculatedColumnFormula>
    </tableColumn>
    <tableColumn id="29" xr3:uid="{BB486CF4-2894-4B29-BE7C-600992F78380}" name="SUBSIDIO MWh - TV" dataDxfId="468">
      <calculatedColumnFormula>(L2-M2)*W2+(N2-O2)*X2</calculatedColumnFormula>
    </tableColumn>
    <tableColumn id="30" xr3:uid="{4B120479-6860-47EF-BA1D-75AA99BC36FE}" name="SUBSIDIO kW - TN" dataDxfId="467">
      <calculatedColumnFormula>(J2-K2)*Y2</calculatedColumnFormula>
    </tableColumn>
    <tableColumn id="31" xr3:uid="{D8F63EBD-BE73-4E92-B7A1-E7FEF9A1DDCC}" name="SUBSIDIO MWh - TN" dataDxfId="466">
      <calculatedColumnFormula>(L2-M2)*Z2+(N2-O2)*AA2</calculatedColumnFormula>
    </tableColumn>
    <tableColumn id="32" xr3:uid="{66CEC820-DF3D-4D50-96DB-CD7429B44984}" name="TIPO" dataDxfId="4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54BA6C-E4F5-4498-9F6A-E0DD2F158733}" name="TabelaFin" displayName="TabelaFin" ref="B3:AQ49" tableType="queryTable" totalsRowShown="0" headerRowDxfId="95" dataDxfId="94" headerRowBorderDxfId="139" tableBorderDxfId="140" totalsRowBorderDxfId="138">
  <autoFilter ref="B3:AQ49" xr:uid="{8B54BA6C-E4F5-4498-9F6A-E0DD2F158733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6A9E1F31-CFD7-4A7D-9D6D-3CAC4545E5ED}" uniqueName="43" name="SUBGRUPO" queryTableFieldId="1" dataDxfId="137"/>
    <tableColumn id="44" xr3:uid="{513FDD3A-D809-4229-AD80-F74B1908AD99}" uniqueName="44" name="MODALIDADE" queryTableFieldId="2" dataDxfId="136"/>
    <tableColumn id="45" xr3:uid="{5FBF1827-361A-4398-9BB5-53B6B469A611}" uniqueName="45" name="CLASSE" queryTableFieldId="3" dataDxfId="135"/>
    <tableColumn id="46" xr3:uid="{A49EFCDF-69F7-4D6D-A5EC-B96B123FE56B}" uniqueName="46" name="SUBCLASSE" queryTableFieldId="4" dataDxfId="134"/>
    <tableColumn id="47" xr3:uid="{839F3AC0-75AD-4B8A-B096-FF258A92FE0B}" uniqueName="47" name="DETALHE" queryTableFieldId="5" dataDxfId="133"/>
    <tableColumn id="48" xr3:uid="{40331154-98DF-4183-A500-C2B49C4ECFAD}" uniqueName="48" name="POSTO" queryTableFieldId="6" dataDxfId="132"/>
    <tableColumn id="49" xr3:uid="{7ED6EE7F-8547-4888-84B4-0CFF8FDA5FAA}" uniqueName="49" name="UNIDADE" queryTableFieldId="7" dataDxfId="131"/>
    <tableColumn id="50" xr3:uid="{72B1F47F-0E18-4AA0-87D0-82EEC6147512}" uniqueName="50" name="ACESSANTE" queryTableFieldId="8" dataDxfId="130"/>
    <tableColumn id="51" xr3:uid="{A0804D58-7D3F-4B3C-B410-74173D564470}" uniqueName="51" name="Total TUSD" queryTableFieldId="9" dataDxfId="129"/>
    <tableColumn id="52" xr3:uid="{A53F511D-A8CA-4F32-8150-80E51E64179E}" uniqueName="52" name="Total TE" queryTableFieldId="10" dataDxfId="128"/>
    <tableColumn id="53" xr3:uid="{D55AC155-1D7A-4707-BC7E-64E3882F9DE2}" uniqueName="53" name="TUSD_CDE_COVID" queryTableFieldId="11" dataDxfId="127"/>
    <tableColumn id="54" xr3:uid="{2AF730B6-1EB6-479D-9EC6-815CD306EDD0}" uniqueName="54" name="TUSD_TFSEE" queryTableFieldId="12" dataDxfId="126"/>
    <tableColumn id="55" xr3:uid="{057BF0A9-A3BF-425C-95CA-0CCC39E30200}" uniqueName="55" name="TUSD_PeD" queryTableFieldId="13" dataDxfId="125"/>
    <tableColumn id="56" xr3:uid="{E76C8B10-7403-4CD5-B568-E92F4CAE5E86}" uniqueName="56" name="TUSD_ONS" queryTableFieldId="14" dataDxfId="124"/>
    <tableColumn id="57" xr3:uid="{8D6C9331-90DD-4F36-A16C-0C40FBBDB181}" uniqueName="57" name="TUSD_CCC" queryTableFieldId="15" dataDxfId="123"/>
    <tableColumn id="58" xr3:uid="{D636986C-C8FB-43FC-A257-09CBC1528663}" uniqueName="58" name="TUSD_CDE" queryTableFieldId="16" dataDxfId="122"/>
    <tableColumn id="59" xr3:uid="{99C15967-AEAF-4541-8084-769D541AE751}" uniqueName="59" name="TUSD_PROINFA" queryTableFieldId="17" dataDxfId="121"/>
    <tableColumn id="60" xr3:uid="{1801D7C8-F5D4-4187-9B80-761919A1DD2D}" uniqueName="60" name="Liminar1" queryTableFieldId="18" dataDxfId="120"/>
    <tableColumn id="61" xr3:uid="{25633B5A-A0EF-4615-A7DC-4709E724B334}" uniqueName="61" name="TUSD_RB" queryTableFieldId="19" dataDxfId="119"/>
    <tableColumn id="62" xr3:uid="{21280D72-2223-4A2F-8A87-5D1C668FC5B6}" uniqueName="62" name="TUSD_FR" queryTableFieldId="20" dataDxfId="118"/>
    <tableColumn id="63" xr3:uid="{C0A4D6FC-0297-4B15-A495-763131761CE1}" uniqueName="63" name="TUSD_CCT" queryTableFieldId="21" dataDxfId="117"/>
    <tableColumn id="64" xr3:uid="{4224996D-E285-4FB7-ADE4-8B644293BBAE}" uniqueName="64" name="TUSD_CCD" queryTableFieldId="22" dataDxfId="116"/>
    <tableColumn id="65" xr3:uid="{0CA2528A-00D6-4784-B4FA-CE7563B61AD5}" uniqueName="65" name="TUSD_CUSD" queryTableFieldId="23" dataDxfId="115"/>
    <tableColumn id="66" xr3:uid="{D2F8352F-2089-480F-A9E3-0C977F367684}" uniqueName="66" name="TUSDG_T" queryTableFieldId="24" dataDxfId="114"/>
    <tableColumn id="67" xr3:uid="{3CBD9D60-44AA-4D0B-8E03-148A12E3D8F2}" uniqueName="67" name="TUSDG_ONS" queryTableFieldId="25" dataDxfId="113"/>
    <tableColumn id="68" xr3:uid="{F9EFD2BC-A0BB-4240-888C-660EDC8DA0CE}" uniqueName="68" name="TUSD_FioB" queryTableFieldId="26" dataDxfId="112"/>
    <tableColumn id="69" xr3:uid="{6CA4A6FF-1125-4B06-B3F8-47AC58986BD3}" uniqueName="69" name="TUSD Subsidio" queryTableFieldId="27" dataDxfId="111"/>
    <tableColumn id="70" xr3:uid="{BB4502E5-E83B-4622-8A6B-047C09E1F85B}" uniqueName="70" name="TUSD Outros" queryTableFieldId="28" dataDxfId="110"/>
    <tableColumn id="71" xr3:uid="{F165651F-3FBE-4B0E-8F36-E75AF5F884A7}" uniqueName="71" name="TUSD_PT" queryTableFieldId="29" dataDxfId="109"/>
    <tableColumn id="72" xr3:uid="{12659D8E-BB7C-48CF-8032-BF30D23E748C}" uniqueName="72" name="TUSD_Per_RB_D" queryTableFieldId="30" dataDxfId="108"/>
    <tableColumn id="73" xr3:uid="{3E16CD29-AA33-4E07-80C3-C78674EE747E}" uniqueName="73" name="TUSD_PNT" queryTableFieldId="31" dataDxfId="107"/>
    <tableColumn id="74" xr3:uid="{54923D02-E7FE-415C-BF51-779ED3055D84}" uniqueName="74" name="TUSD_RI" queryTableFieldId="32" dataDxfId="106"/>
    <tableColumn id="75" xr3:uid="{EB2B1813-4899-4663-B559-29E2760DB9B9}" uniqueName="75" name="TE_CDE_COVID" queryTableFieldId="33" dataDxfId="105"/>
    <tableColumn id="76" xr3:uid="{49EF6242-58C7-4C43-A260-01A7F6866DFC}" uniqueName="76" name="TE_PeD" queryTableFieldId="34" dataDxfId="104"/>
    <tableColumn id="77" xr3:uid="{A960CE8E-F3B6-4CF1-8943-FC271739FF5B}" uniqueName="77" name="TE_ESSERR" queryTableFieldId="35" dataDxfId="103"/>
    <tableColumn id="78" xr3:uid="{5022334B-3424-4ECE-811C-93AB0070BF54}" uniqueName="78" name="TE_CFURH" queryTableFieldId="36" dataDxfId="102"/>
    <tableColumn id="79" xr3:uid="{BC161BCA-B311-478E-9C13-2E73AE5CC9AA}" uniqueName="79" name="TE_ENERGIA" queryTableFieldId="37" dataDxfId="101"/>
    <tableColumn id="80" xr3:uid="{141B8B8C-857A-4796-B609-C58EE430C93E}" uniqueName="80" name="TE_TRANSPORTE_ITAIPU" queryTableFieldId="38" dataDxfId="100"/>
    <tableColumn id="81" xr3:uid="{828D265E-7F0A-4D5C-9A7E-08776DCAFC5E}" uniqueName="81" name="TE_TUST_ITAIPU" queryTableFieldId="39" dataDxfId="99"/>
    <tableColumn id="82" xr3:uid="{6CD723C5-83D6-49FC-AA19-91E5079CA611}" uniqueName="82" name="TE_TUST_CI" queryTableFieldId="40" dataDxfId="98"/>
    <tableColumn id="83" xr3:uid="{4E65C3AE-C344-49F9-B31A-1E8AF0960CF2}" uniqueName="83" name="TE Subsidio" queryTableFieldId="41" dataDxfId="97"/>
    <tableColumn id="84" xr3:uid="{1EBE764B-9385-4985-8B93-58177F77C1E6}" uniqueName="84" name="TE_Per_RB" queryTableFieldId="42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503B4D-CD81-4E48-8D1F-7D225F652942}" name="TabelaEc" displayName="TabelaEc" ref="B3:AQ49" tableType="queryTable" totalsRowShown="0" headerRowDxfId="48" dataDxfId="47" headerRowBorderDxfId="92" tableBorderDxfId="93" totalsRowBorderDxfId="91">
  <autoFilter ref="B3:AQ49" xr:uid="{9A503B4D-CD81-4E48-8D1F-7D225F652942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EF38C065-09A9-4F06-8EA6-F1906266D412}" uniqueName="43" name="SUBGRUPO" queryTableFieldId="1" dataDxfId="90"/>
    <tableColumn id="44" xr3:uid="{51FDFA75-F59D-4CA8-ACC0-94FABEA84042}" uniqueName="44" name="MODALIDADE" queryTableFieldId="2" dataDxfId="89"/>
    <tableColumn id="45" xr3:uid="{60072BFB-4F33-4800-8B7C-16F080080F48}" uniqueName="45" name="CLASSE" queryTableFieldId="3" dataDxfId="88"/>
    <tableColumn id="46" xr3:uid="{0A7BFDC3-4E4E-486B-BDAC-026EE3672461}" uniqueName="46" name="SUBCLASSE" queryTableFieldId="4" dataDxfId="87"/>
    <tableColumn id="47" xr3:uid="{FD31AE29-A011-4780-A0ED-9F0E57FB0C72}" uniqueName="47" name="DETALHE" queryTableFieldId="5" dataDxfId="86"/>
    <tableColumn id="48" xr3:uid="{EBFBE76B-1509-4CA6-879F-E9A21CF152F4}" uniqueName="48" name="POSTO" queryTableFieldId="6" dataDxfId="85"/>
    <tableColumn id="49" xr3:uid="{84B30FEE-A41E-40FA-AB41-4D36DE2230B5}" uniqueName="49" name="UNIDADE" queryTableFieldId="7" dataDxfId="84"/>
    <tableColumn id="50" xr3:uid="{8B17648E-E539-4634-98D5-6CC5E38CE73E}" uniqueName="50" name="ACESSANTE" queryTableFieldId="8" dataDxfId="83"/>
    <tableColumn id="51" xr3:uid="{1BFDD5B5-C81C-4537-9FE6-A318029FCF51}" uniqueName="51" name="Total TUSD" queryTableFieldId="9" dataDxfId="82"/>
    <tableColumn id="52" xr3:uid="{1F2DAE96-4F28-4356-9765-605F30E1770E}" uniqueName="52" name="Total TE" queryTableFieldId="10" dataDxfId="81"/>
    <tableColumn id="53" xr3:uid="{1A8100EF-D25D-47CA-AF7D-F519020EF2D8}" uniqueName="53" name="TUSD_CDE_COVID" queryTableFieldId="11" dataDxfId="80"/>
    <tableColumn id="54" xr3:uid="{28E55EBE-C1D1-49FC-86B8-2FDA5051D276}" uniqueName="54" name="TUSD_TFSEE" queryTableFieldId="12" dataDxfId="79"/>
    <tableColumn id="55" xr3:uid="{ABB31810-A522-40B6-B59E-B8C9D2C7963E}" uniqueName="55" name="TUSD_PeD" queryTableFieldId="13" dataDxfId="78"/>
    <tableColumn id="56" xr3:uid="{D1F5FC80-C1B3-42CB-9A1C-302F29D0B7C5}" uniqueName="56" name="TUSD_ONS" queryTableFieldId="14" dataDxfId="77"/>
    <tableColumn id="57" xr3:uid="{576F3A2E-757B-4297-8B7F-805B209CD5BD}" uniqueName="57" name="TUSD_CCC" queryTableFieldId="15" dataDxfId="76"/>
    <tableColumn id="58" xr3:uid="{CB17415F-4496-4349-8C61-6C57E1561799}" uniqueName="58" name="TUSD_CDE" queryTableFieldId="16" dataDxfId="75"/>
    <tableColumn id="59" xr3:uid="{7EBB3A80-5CE9-43F3-8702-3630C7C4CBA8}" uniqueName="59" name="TUSD_PROINFA" queryTableFieldId="17" dataDxfId="74"/>
    <tableColumn id="60" xr3:uid="{0442E715-7A8D-4C64-85A9-C1AB4E47CC7B}" uniqueName="60" name="Liminar1" queryTableFieldId="18" dataDxfId="73"/>
    <tableColumn id="61" xr3:uid="{207C1528-AA83-4FD1-BDFD-011C940464D6}" uniqueName="61" name="TUSD_RB" queryTableFieldId="19" dataDxfId="72"/>
    <tableColumn id="62" xr3:uid="{E61D29E9-ADD7-47C9-B806-31BB46CB18BB}" uniqueName="62" name="TUSD_FR" queryTableFieldId="20" dataDxfId="71"/>
    <tableColumn id="63" xr3:uid="{47F71C5C-36D5-4288-A653-58D2309E096F}" uniqueName="63" name="TUSD_CCT" queryTableFieldId="21" dataDxfId="70"/>
    <tableColumn id="64" xr3:uid="{C7F64F88-46C6-4CF3-8DE6-04BC4BA2CED9}" uniqueName="64" name="TUSD_CCD" queryTableFieldId="22" dataDxfId="69"/>
    <tableColumn id="65" xr3:uid="{24B6550C-4158-48D3-887F-F4E55F28E9BC}" uniqueName="65" name="TUSD_CUSD" queryTableFieldId="23" dataDxfId="68"/>
    <tableColumn id="66" xr3:uid="{3DB45E31-DD9F-4999-9CDF-64F90EC925E6}" uniqueName="66" name="TUSDG_T" queryTableFieldId="24" dataDxfId="67"/>
    <tableColumn id="67" xr3:uid="{B9642426-3C6A-4144-810B-09C1613DCBA9}" uniqueName="67" name="TUSDG_ONS" queryTableFieldId="25" dataDxfId="66"/>
    <tableColumn id="68" xr3:uid="{443C7FA8-025B-470E-8360-5A90C491A904}" uniqueName="68" name="TUSD_FioB" queryTableFieldId="26" dataDxfId="65"/>
    <tableColumn id="69" xr3:uid="{D84DA766-D20C-43FF-8350-EFFAC9ACE021}" uniqueName="69" name="TUSD Subsidio" queryTableFieldId="27" dataDxfId="64"/>
    <tableColumn id="70" xr3:uid="{78CA29F4-C72A-4429-99C9-7C4E55696BC3}" uniqueName="70" name="TUSD Outros" queryTableFieldId="28" dataDxfId="63"/>
    <tableColumn id="71" xr3:uid="{E9B1DD4D-3361-4618-973C-A47F9D32879B}" uniqueName="71" name="TUSD_PT" queryTableFieldId="29" dataDxfId="62"/>
    <tableColumn id="72" xr3:uid="{D51A7EA5-6EF7-4FA7-9344-D72437EEB55B}" uniqueName="72" name="TUSD_Per_RB_D" queryTableFieldId="30" dataDxfId="61"/>
    <tableColumn id="73" xr3:uid="{B4C226DE-A2B6-4670-BF42-4D896141C3CD}" uniqueName="73" name="TUSD_PNT" queryTableFieldId="31" dataDxfId="60"/>
    <tableColumn id="74" xr3:uid="{F074BDE6-B5A5-4DF6-921E-2815115E9015}" uniqueName="74" name="TUSD_RI" queryTableFieldId="32" dataDxfId="59"/>
    <tableColumn id="75" xr3:uid="{F898CD25-7C6D-4212-A1E3-2CB3A7BBDEDA}" uniqueName="75" name="TE_CDE_COVID" queryTableFieldId="33" dataDxfId="58"/>
    <tableColumn id="76" xr3:uid="{4135AD5F-0AD9-4F0E-A217-54DFE28C1B74}" uniqueName="76" name="TE_PeD" queryTableFieldId="34" dataDxfId="57"/>
    <tableColumn id="77" xr3:uid="{60D83CF0-9CD9-4572-909A-535E59801159}" uniqueName="77" name="TE_ESSERR" queryTableFieldId="35" dataDxfId="56"/>
    <tableColumn id="78" xr3:uid="{67849665-F397-46A8-86DC-34E7D0D25D97}" uniqueName="78" name="TE_CFURH" queryTableFieldId="36" dataDxfId="55"/>
    <tableColumn id="79" xr3:uid="{242F9851-8927-4CDE-81DF-6302E63B3686}" uniqueName="79" name="TE_ENERGIA" queryTableFieldId="37" dataDxfId="54"/>
    <tableColumn id="80" xr3:uid="{2F771E9A-8ECE-424A-9EBA-1058BB309A83}" uniqueName="80" name="TE_TRANSPORTE_ITAIPU" queryTableFieldId="38" dataDxfId="53"/>
    <tableColumn id="81" xr3:uid="{297E5312-9E34-43DA-B8A2-8631007CD37D}" uniqueName="81" name="TE_TUST_ITAIPU" queryTableFieldId="39" dataDxfId="52"/>
    <tableColumn id="82" xr3:uid="{923FC67E-515B-4174-AE65-53C15F65A6C2}" uniqueName="82" name="TE_TUST_CI" queryTableFieldId="40" dataDxfId="51"/>
    <tableColumn id="83" xr3:uid="{D3AA7EF1-9DB6-4359-BB47-5C2DDC9DC07A}" uniqueName="83" name="TE Subsidio" queryTableFieldId="41" dataDxfId="50"/>
    <tableColumn id="84" xr3:uid="{2A97F800-6A25-4939-91B4-1CDB3110BBE1}" uniqueName="84" name="TE_Per_RB" queryTableFieldId="42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F1E904-827D-4DB0-B182-EFEE119C6D39}" name="TabelaCVA" displayName="TabelaCVA" ref="B3:AQ49" tableType="queryTable" totalsRowShown="0" headerRowDxfId="1" dataDxfId="0" headerRowBorderDxfId="45" tableBorderDxfId="46" totalsRowBorderDxfId="44">
  <autoFilter ref="B3:AQ49" xr:uid="{63F1E904-827D-4DB0-B182-EFEE119C6D39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7077DF70-0D19-40D5-9FD9-E9CEF99DC18C}" uniqueName="43" name="SUBGRUPO" queryTableFieldId="1" dataDxfId="43"/>
    <tableColumn id="44" xr3:uid="{A4DF8FF8-5D9C-4FCE-9427-861D68C2C694}" uniqueName="44" name="MODALIDADE" queryTableFieldId="2" dataDxfId="42"/>
    <tableColumn id="45" xr3:uid="{676E3DDB-AB7B-425A-802A-53EBD781536A}" uniqueName="45" name="CLASSE" queryTableFieldId="3" dataDxfId="41"/>
    <tableColumn id="46" xr3:uid="{AFD354F7-D49E-4F17-BE3E-9A6BB029965D}" uniqueName="46" name="SUBCLASSE" queryTableFieldId="4" dataDxfId="40"/>
    <tableColumn id="47" xr3:uid="{9508A95B-EE41-42EB-B77E-1F3A830ECC5B}" uniqueName="47" name="DETALHE" queryTableFieldId="5" dataDxfId="39"/>
    <tableColumn id="48" xr3:uid="{C326679C-F4CE-492C-8262-BE1CEED6F44B}" uniqueName="48" name="POSTO" queryTableFieldId="6" dataDxfId="38"/>
    <tableColumn id="49" xr3:uid="{E7FCCC65-CD05-4A97-AE86-7EC3E1D06EAE}" uniqueName="49" name="UNIDADE" queryTableFieldId="7" dataDxfId="37"/>
    <tableColumn id="50" xr3:uid="{A8EC09D9-B012-4981-A358-2B2CE3ADD992}" uniqueName="50" name="ACESSANTE" queryTableFieldId="8" dataDxfId="36"/>
    <tableColumn id="51" xr3:uid="{3C2FB76C-2256-4FD6-9E8B-F8263774F7B4}" uniqueName="51" name="Total TUSD" queryTableFieldId="9" dataDxfId="35"/>
    <tableColumn id="52" xr3:uid="{CF3FEEC9-F8FC-4933-9523-56071FD3589B}" uniqueName="52" name="Total TE" queryTableFieldId="10" dataDxfId="34"/>
    <tableColumn id="53" xr3:uid="{D7C8763A-01E7-44EA-B8E6-922D323FC9DF}" uniqueName="53" name="TUSD_CDE_COVID" queryTableFieldId="11" dataDxfId="33"/>
    <tableColumn id="54" xr3:uid="{D2F9ACCE-235B-4B25-AA0E-6F8342EEB259}" uniqueName="54" name="TUSD_TFSEE" queryTableFieldId="12" dataDxfId="32"/>
    <tableColumn id="55" xr3:uid="{9F2A65CD-1D91-4DDF-B4D4-745688ABEC26}" uniqueName="55" name="TUSD_PeD" queryTableFieldId="13" dataDxfId="31"/>
    <tableColumn id="56" xr3:uid="{3E8605D1-25C9-4047-811F-F911D22026DC}" uniqueName="56" name="TUSD_ONS" queryTableFieldId="14" dataDxfId="30"/>
    <tableColumn id="57" xr3:uid="{FF2ABFF6-7BCB-43BD-BFDF-600AA8821A22}" uniqueName="57" name="TUSD_CCC" queryTableFieldId="15" dataDxfId="29"/>
    <tableColumn id="58" xr3:uid="{CF939826-6603-430A-AF4E-269662F9A58D}" uniqueName="58" name="TUSD_CDE" queryTableFieldId="16" dataDxfId="28"/>
    <tableColumn id="59" xr3:uid="{9C2C20BC-F2B8-4C52-8783-73E35B256F38}" uniqueName="59" name="TUSD_PROINFA" queryTableFieldId="17" dataDxfId="27"/>
    <tableColumn id="60" xr3:uid="{A6AC8D8F-61DD-491A-890E-97289196376D}" uniqueName="60" name="Liminar1" queryTableFieldId="18" dataDxfId="26"/>
    <tableColumn id="61" xr3:uid="{4F3B2B45-2B33-4EC8-84E7-0CBA70DFABE4}" uniqueName="61" name="TUSD_RB" queryTableFieldId="19" dataDxfId="25"/>
    <tableColumn id="62" xr3:uid="{3A5D4A15-FFA3-4A36-B4DD-5930F1F9AD33}" uniqueName="62" name="TUSD_FR" queryTableFieldId="20" dataDxfId="24"/>
    <tableColumn id="63" xr3:uid="{7171EB84-3023-4114-B5FD-F25D3B902E64}" uniqueName="63" name="TUSD_CCT" queryTableFieldId="21" dataDxfId="23"/>
    <tableColumn id="64" xr3:uid="{77543671-105B-4203-8D82-50DDE77A2151}" uniqueName="64" name="TUSD_CCD" queryTableFieldId="22" dataDxfId="22"/>
    <tableColumn id="65" xr3:uid="{37DD810F-8481-420F-B22B-74E6797E4E0B}" uniqueName="65" name="TUSD_CUSD" queryTableFieldId="23" dataDxfId="21"/>
    <tableColumn id="66" xr3:uid="{7515FF25-FD31-43D0-9F7A-B87A1C196CE8}" uniqueName="66" name="TUSDG_T" queryTableFieldId="24" dataDxfId="20"/>
    <tableColumn id="67" xr3:uid="{770B590B-5468-4497-8458-4DD6F3B2B9AA}" uniqueName="67" name="TUSDG_ONS" queryTableFieldId="25" dataDxfId="19"/>
    <tableColumn id="68" xr3:uid="{C0C86E3F-125C-459B-944B-78A8510CA03D}" uniqueName="68" name="TUSD_FioB" queryTableFieldId="26" dataDxfId="18"/>
    <tableColumn id="69" xr3:uid="{54BEFC15-614C-4756-A11A-52DBD2E5070D}" uniqueName="69" name="TUSD Subsidio" queryTableFieldId="27" dataDxfId="17"/>
    <tableColumn id="70" xr3:uid="{3C476EEB-BA31-4DBB-90FE-A00A1AC79249}" uniqueName="70" name="TUSD Outros" queryTableFieldId="28" dataDxfId="16"/>
    <tableColumn id="71" xr3:uid="{3DA692C1-B560-48B2-B3D2-4FD1ED45C29A}" uniqueName="71" name="TUSD_PT" queryTableFieldId="29" dataDxfId="15"/>
    <tableColumn id="72" xr3:uid="{DD05858A-BADB-4565-BB06-4445A4BDF9E7}" uniqueName="72" name="TUSD_Per_RB_D" queryTableFieldId="30" dataDxfId="14"/>
    <tableColumn id="73" xr3:uid="{BDD7120D-A051-433A-82FF-1AC0A8FF5F82}" uniqueName="73" name="TUSD_PNT" queryTableFieldId="31" dataDxfId="13"/>
    <tableColumn id="74" xr3:uid="{C8214EB8-B3CE-498A-BEC6-8211048E5F94}" uniqueName="74" name="TUSD_RI" queryTableFieldId="32" dataDxfId="12"/>
    <tableColumn id="75" xr3:uid="{3B77AF8C-8A5A-4A4C-9A72-58420EA3D608}" uniqueName="75" name="TE_CDE_COVID" queryTableFieldId="33" dataDxfId="11"/>
    <tableColumn id="76" xr3:uid="{22937857-2F17-48D6-946B-80D99182EEC1}" uniqueName="76" name="TE_PeD" queryTableFieldId="34" dataDxfId="10"/>
    <tableColumn id="77" xr3:uid="{2EE0988E-3CF5-4399-BCD4-4D68C7860CE6}" uniqueName="77" name="TE_ESSERR" queryTableFieldId="35" dataDxfId="9"/>
    <tableColumn id="78" xr3:uid="{F619DEF6-188E-4F0E-A8D2-D05B5943412E}" uniqueName="78" name="TE_CFURH" queryTableFieldId="36" dataDxfId="8"/>
    <tableColumn id="79" xr3:uid="{A2453B9C-D4A3-4DE0-AE86-FB2B9B5106D3}" uniqueName="79" name="TE_ENERGIA" queryTableFieldId="37" dataDxfId="7"/>
    <tableColumn id="80" xr3:uid="{7F60B270-14DB-4A65-8B44-8045F52E48CA}" uniqueName="80" name="TE_TRANSPORTE_ITAIPU" queryTableFieldId="38" dataDxfId="6"/>
    <tableColumn id="81" xr3:uid="{094BB2F6-D08E-496A-8CD4-70846A219D53}" uniqueName="81" name="TE_TUST_ITAIPU" queryTableFieldId="39" dataDxfId="5"/>
    <tableColumn id="82" xr3:uid="{C85422FE-D899-48B8-A603-12078F95E6D2}" uniqueName="82" name="TE_TUST_CI" queryTableFieldId="40" dataDxfId="4"/>
    <tableColumn id="83" xr3:uid="{BC0230D8-3146-49A2-8096-C82DD9EC69B3}" uniqueName="83" name="TE Subsidio" queryTableFieldId="41" dataDxfId="3"/>
    <tableColumn id="84" xr3:uid="{3543F3D1-63FB-4F0D-84A3-A979FC8E588B}" uniqueName="84" name="TE_Per_RB" queryTableFieldId="4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7E20-45FA-453F-9B97-5B4E8D8F3A3E}">
  <dimension ref="A1:W298"/>
  <sheetViews>
    <sheetView showGridLines="0" topLeftCell="N273" workbookViewId="0">
      <selection activeCell="T299" sqref="T299"/>
    </sheetView>
  </sheetViews>
  <sheetFormatPr defaultColWidth="9.109375" defaultRowHeight="11.25" customHeight="1" x14ac:dyDescent="0.3"/>
  <cols>
    <col min="1" max="1" width="19.109375" style="4" bestFit="1" customWidth="1"/>
    <col min="2" max="2" width="8.6640625" style="4" bestFit="1" customWidth="1"/>
    <col min="3" max="3" width="10.33203125" style="4" bestFit="1" customWidth="1"/>
    <col min="4" max="4" width="13.5546875" style="4" bestFit="1" customWidth="1"/>
    <col min="5" max="5" width="25.109375" style="4" bestFit="1" customWidth="1"/>
    <col min="6" max="6" width="10.5546875" style="4" bestFit="1" customWidth="1"/>
    <col min="7" max="8" width="10.33203125" style="4" bestFit="1" customWidth="1"/>
    <col min="9" max="9" width="8.6640625" style="5" bestFit="1" customWidth="1"/>
    <col min="10" max="11" width="7" style="6" bestFit="1" customWidth="1"/>
    <col min="12" max="12" width="6.6640625" style="6" bestFit="1" customWidth="1"/>
    <col min="13" max="13" width="8" style="6" bestFit="1" customWidth="1"/>
    <col min="14" max="14" width="5.6640625" style="6" bestFit="1" customWidth="1"/>
    <col min="15" max="15" width="5.88671875" style="6" bestFit="1" customWidth="1"/>
    <col min="16" max="16" width="7" style="6" bestFit="1" customWidth="1"/>
    <col min="17" max="17" width="6.5546875" style="4" bestFit="1" customWidth="1"/>
    <col min="18" max="18" width="8.5546875" style="4" bestFit="1" customWidth="1"/>
    <col min="19" max="19" width="78.109375" style="4" bestFit="1" customWidth="1"/>
    <col min="20" max="20" width="83.88671875" style="4" bestFit="1" customWidth="1"/>
    <col min="21" max="21" width="18.44140625" style="4" bestFit="1" customWidth="1"/>
    <col min="22" max="22" width="19.88671875" style="4" bestFit="1" customWidth="1"/>
    <col min="23" max="23" width="17.6640625" style="4" bestFit="1" customWidth="1"/>
    <col min="24" max="16384" width="9.1093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221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36</v>
      </c>
      <c r="C2" s="4" t="s">
        <v>37</v>
      </c>
      <c r="D2" s="4" t="s">
        <v>35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44287</v>
      </c>
      <c r="J2" s="6">
        <v>0</v>
      </c>
      <c r="K2" s="6">
        <v>0</v>
      </c>
      <c r="L2" s="6">
        <v>163.18199999999999</v>
      </c>
      <c r="M2" s="6">
        <v>163.18199999999999</v>
      </c>
      <c r="N2" s="6">
        <v>163.18199999999999</v>
      </c>
      <c r="O2" s="6">
        <v>163.18199999999999</v>
      </c>
      <c r="P2" s="6">
        <v>0</v>
      </c>
      <c r="Q2" s="4" t="s">
        <v>26</v>
      </c>
      <c r="R2" s="4">
        <v>0</v>
      </c>
      <c r="S2" s="4" t="s">
        <v>89</v>
      </c>
      <c r="T2" s="4" t="s">
        <v>222</v>
      </c>
      <c r="U2" s="4">
        <v>0</v>
      </c>
      <c r="V2" s="4">
        <v>84</v>
      </c>
      <c r="W2" s="4">
        <v>34</v>
      </c>
    </row>
    <row r="3" spans="1:23" ht="11.25" customHeight="1" x14ac:dyDescent="0.3">
      <c r="A3" s="4" t="s">
        <v>21</v>
      </c>
      <c r="B3" s="4" t="s">
        <v>36</v>
      </c>
      <c r="C3" s="4" t="s">
        <v>37</v>
      </c>
      <c r="D3" s="4" t="s">
        <v>35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44317</v>
      </c>
      <c r="J3" s="6">
        <v>0</v>
      </c>
      <c r="K3" s="6">
        <v>0</v>
      </c>
      <c r="L3" s="6">
        <v>164.11099999999999</v>
      </c>
      <c r="M3" s="6">
        <v>164.11099999999999</v>
      </c>
      <c r="N3" s="6">
        <v>164.11099999999999</v>
      </c>
      <c r="O3" s="6">
        <v>164.11099999999999</v>
      </c>
      <c r="P3" s="6">
        <v>0</v>
      </c>
      <c r="Q3" s="4" t="s">
        <v>26</v>
      </c>
      <c r="R3" s="4">
        <v>0</v>
      </c>
      <c r="S3" s="4" t="s">
        <v>90</v>
      </c>
      <c r="T3" s="4" t="s">
        <v>223</v>
      </c>
      <c r="U3" s="4">
        <v>0</v>
      </c>
      <c r="V3" s="4">
        <v>84</v>
      </c>
      <c r="W3" s="4">
        <v>34</v>
      </c>
    </row>
    <row r="4" spans="1:23" ht="11.25" customHeight="1" x14ac:dyDescent="0.3">
      <c r="A4" s="4" t="s">
        <v>21</v>
      </c>
      <c r="B4" s="4" t="s">
        <v>36</v>
      </c>
      <c r="C4" s="4" t="s">
        <v>37</v>
      </c>
      <c r="D4" s="4" t="s">
        <v>35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44348</v>
      </c>
      <c r="J4" s="6">
        <v>0</v>
      </c>
      <c r="K4" s="6">
        <v>0</v>
      </c>
      <c r="L4" s="6">
        <v>159.97999999999999</v>
      </c>
      <c r="M4" s="6">
        <v>159.97999999999999</v>
      </c>
      <c r="N4" s="6">
        <v>159.97999999999999</v>
      </c>
      <c r="O4" s="6">
        <v>159.97999999999999</v>
      </c>
      <c r="P4" s="6">
        <v>0</v>
      </c>
      <c r="Q4" s="4" t="s">
        <v>26</v>
      </c>
      <c r="R4" s="4">
        <v>0</v>
      </c>
      <c r="S4" s="4" t="s">
        <v>91</v>
      </c>
      <c r="T4" s="4" t="s">
        <v>224</v>
      </c>
      <c r="U4" s="4">
        <v>0</v>
      </c>
      <c r="V4" s="4">
        <v>84</v>
      </c>
      <c r="W4" s="4">
        <v>34</v>
      </c>
    </row>
    <row r="5" spans="1:23" ht="11.25" customHeight="1" x14ac:dyDescent="0.3">
      <c r="A5" s="4" t="s">
        <v>21</v>
      </c>
      <c r="B5" s="4" t="s">
        <v>36</v>
      </c>
      <c r="C5" s="4" t="s">
        <v>37</v>
      </c>
      <c r="D5" s="4" t="s">
        <v>35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44378</v>
      </c>
      <c r="J5" s="6">
        <v>0</v>
      </c>
      <c r="K5" s="6">
        <v>0</v>
      </c>
      <c r="L5" s="6">
        <v>182.959</v>
      </c>
      <c r="M5" s="6">
        <v>182.959</v>
      </c>
      <c r="N5" s="6">
        <v>182.959</v>
      </c>
      <c r="O5" s="6">
        <v>182.959</v>
      </c>
      <c r="P5" s="6">
        <v>0</v>
      </c>
      <c r="Q5" s="4" t="s">
        <v>26</v>
      </c>
      <c r="R5" s="4">
        <v>0</v>
      </c>
      <c r="S5" s="4" t="s">
        <v>92</v>
      </c>
      <c r="T5" s="4" t="s">
        <v>225</v>
      </c>
      <c r="U5" s="4">
        <v>0</v>
      </c>
      <c r="V5" s="4">
        <v>84</v>
      </c>
      <c r="W5" s="4">
        <v>34</v>
      </c>
    </row>
    <row r="6" spans="1:23" ht="11.25" customHeight="1" x14ac:dyDescent="0.3">
      <c r="A6" s="4" t="s">
        <v>21</v>
      </c>
      <c r="B6" s="4" t="s">
        <v>36</v>
      </c>
      <c r="C6" s="4" t="s">
        <v>37</v>
      </c>
      <c r="D6" s="4" t="s">
        <v>35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44409</v>
      </c>
      <c r="J6" s="6">
        <v>0</v>
      </c>
      <c r="K6" s="6">
        <v>0</v>
      </c>
      <c r="L6" s="6">
        <v>167.11099999999999</v>
      </c>
      <c r="M6" s="6">
        <v>167.11099999999999</v>
      </c>
      <c r="N6" s="6">
        <v>167.11099999999999</v>
      </c>
      <c r="O6" s="6">
        <v>167.11099999999999</v>
      </c>
      <c r="P6" s="6">
        <v>0</v>
      </c>
      <c r="Q6" s="4" t="s">
        <v>26</v>
      </c>
      <c r="R6" s="4">
        <v>0</v>
      </c>
      <c r="S6" s="4" t="s">
        <v>93</v>
      </c>
      <c r="T6" s="4" t="s">
        <v>226</v>
      </c>
      <c r="U6" s="4">
        <v>0</v>
      </c>
      <c r="V6" s="4">
        <v>84</v>
      </c>
      <c r="W6" s="4">
        <v>34</v>
      </c>
    </row>
    <row r="7" spans="1:23" ht="11.25" customHeight="1" x14ac:dyDescent="0.3">
      <c r="A7" s="4" t="s">
        <v>21</v>
      </c>
      <c r="B7" s="4" t="s">
        <v>36</v>
      </c>
      <c r="C7" s="4" t="s">
        <v>37</v>
      </c>
      <c r="D7" s="4" t="s">
        <v>35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44440</v>
      </c>
      <c r="J7" s="6">
        <v>0</v>
      </c>
      <c r="K7" s="6">
        <v>0</v>
      </c>
      <c r="L7" s="6">
        <v>181.792</v>
      </c>
      <c r="M7" s="6">
        <v>181.792</v>
      </c>
      <c r="N7" s="6">
        <v>181.792</v>
      </c>
      <c r="O7" s="6">
        <v>181.792</v>
      </c>
      <c r="P7" s="6">
        <v>0</v>
      </c>
      <c r="Q7" s="4" t="s">
        <v>26</v>
      </c>
      <c r="R7" s="4">
        <v>0</v>
      </c>
      <c r="S7" s="4" t="s">
        <v>94</v>
      </c>
      <c r="T7" s="4" t="s">
        <v>227</v>
      </c>
      <c r="U7" s="4">
        <v>0</v>
      </c>
      <c r="V7" s="4">
        <v>84</v>
      </c>
      <c r="W7" s="4">
        <v>34</v>
      </c>
    </row>
    <row r="8" spans="1:23" ht="11.25" customHeight="1" x14ac:dyDescent="0.3">
      <c r="A8" s="4" t="s">
        <v>21</v>
      </c>
      <c r="B8" s="4" t="s">
        <v>36</v>
      </c>
      <c r="C8" s="4" t="s">
        <v>37</v>
      </c>
      <c r="D8" s="4" t="s">
        <v>35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44470</v>
      </c>
      <c r="J8" s="6">
        <v>0</v>
      </c>
      <c r="K8" s="6">
        <v>0</v>
      </c>
      <c r="L8" s="6">
        <v>189.65</v>
      </c>
      <c r="M8" s="6">
        <v>189.65</v>
      </c>
      <c r="N8" s="6">
        <v>189.65</v>
      </c>
      <c r="O8" s="6">
        <v>189.65</v>
      </c>
      <c r="P8" s="6">
        <v>0</v>
      </c>
      <c r="Q8" s="4" t="s">
        <v>26</v>
      </c>
      <c r="R8" s="4">
        <v>0</v>
      </c>
      <c r="S8" s="4" t="s">
        <v>95</v>
      </c>
      <c r="T8" s="4" t="s">
        <v>228</v>
      </c>
      <c r="U8" s="4">
        <v>0</v>
      </c>
      <c r="V8" s="4">
        <v>84</v>
      </c>
      <c r="W8" s="4">
        <v>34</v>
      </c>
    </row>
    <row r="9" spans="1:23" ht="11.25" customHeight="1" x14ac:dyDescent="0.3">
      <c r="A9" s="4" t="s">
        <v>21</v>
      </c>
      <c r="B9" s="4" t="s">
        <v>36</v>
      </c>
      <c r="C9" s="4" t="s">
        <v>37</v>
      </c>
      <c r="D9" s="4" t="s">
        <v>35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44501</v>
      </c>
      <c r="J9" s="6">
        <v>0</v>
      </c>
      <c r="K9" s="6">
        <v>0</v>
      </c>
      <c r="L9" s="6">
        <v>192.94900000000001</v>
      </c>
      <c r="M9" s="6">
        <v>192.94900000000001</v>
      </c>
      <c r="N9" s="6">
        <v>192.94900000000001</v>
      </c>
      <c r="O9" s="6">
        <v>192.94900000000001</v>
      </c>
      <c r="P9" s="6">
        <v>0</v>
      </c>
      <c r="Q9" s="4" t="s">
        <v>26</v>
      </c>
      <c r="R9" s="4">
        <v>0</v>
      </c>
      <c r="S9" s="4" t="s">
        <v>96</v>
      </c>
      <c r="T9" s="4" t="s">
        <v>229</v>
      </c>
      <c r="U9" s="4">
        <v>0</v>
      </c>
      <c r="V9" s="4">
        <v>84</v>
      </c>
      <c r="W9" s="4">
        <v>34</v>
      </c>
    </row>
    <row r="10" spans="1:23" ht="11.25" customHeight="1" x14ac:dyDescent="0.3">
      <c r="A10" s="4" t="s">
        <v>21</v>
      </c>
      <c r="B10" s="4" t="s">
        <v>36</v>
      </c>
      <c r="C10" s="4" t="s">
        <v>37</v>
      </c>
      <c r="D10" s="4" t="s">
        <v>35</v>
      </c>
      <c r="E10" s="4" t="s">
        <v>25</v>
      </c>
      <c r="F10" s="4" t="s">
        <v>25</v>
      </c>
      <c r="G10" s="4" t="s">
        <v>25</v>
      </c>
      <c r="H10" s="4" t="s">
        <v>39</v>
      </c>
      <c r="I10" s="5">
        <v>44531</v>
      </c>
      <c r="J10" s="6">
        <v>0</v>
      </c>
      <c r="K10" s="6">
        <v>0</v>
      </c>
      <c r="L10" s="6">
        <v>218.02699999999999</v>
      </c>
      <c r="M10" s="6">
        <v>218.02699999999999</v>
      </c>
      <c r="N10" s="6">
        <v>218.02699999999999</v>
      </c>
      <c r="O10" s="6">
        <v>218.02699999999999</v>
      </c>
      <c r="P10" s="6">
        <v>0</v>
      </c>
      <c r="Q10" s="4" t="s">
        <v>26</v>
      </c>
      <c r="R10" s="4">
        <v>0</v>
      </c>
      <c r="S10" s="4" t="s">
        <v>97</v>
      </c>
      <c r="T10" s="4" t="s">
        <v>230</v>
      </c>
      <c r="U10" s="4">
        <v>0</v>
      </c>
      <c r="V10" s="4">
        <v>84</v>
      </c>
      <c r="W10" s="4">
        <v>34</v>
      </c>
    </row>
    <row r="11" spans="1:23" ht="11.25" customHeight="1" x14ac:dyDescent="0.3">
      <c r="A11" s="4" t="s">
        <v>21</v>
      </c>
      <c r="B11" s="4" t="s">
        <v>36</v>
      </c>
      <c r="C11" s="4" t="s">
        <v>37</v>
      </c>
      <c r="D11" s="4" t="s">
        <v>35</v>
      </c>
      <c r="E11" s="4" t="s">
        <v>25</v>
      </c>
      <c r="F11" s="4" t="s">
        <v>25</v>
      </c>
      <c r="G11" s="4" t="s">
        <v>25</v>
      </c>
      <c r="H11" s="4" t="s">
        <v>39</v>
      </c>
      <c r="I11" s="5">
        <v>44562</v>
      </c>
      <c r="J11" s="6">
        <v>0</v>
      </c>
      <c r="K11" s="6">
        <v>0</v>
      </c>
      <c r="L11" s="6">
        <v>242.20699999999999</v>
      </c>
      <c r="M11" s="6">
        <v>242.20699999999999</v>
      </c>
      <c r="N11" s="6">
        <v>242.20699999999999</v>
      </c>
      <c r="O11" s="6">
        <v>242.20699999999999</v>
      </c>
      <c r="P11" s="6">
        <v>0</v>
      </c>
      <c r="Q11" s="4" t="s">
        <v>26</v>
      </c>
      <c r="R11" s="4">
        <v>0</v>
      </c>
      <c r="S11" s="4" t="s">
        <v>98</v>
      </c>
      <c r="T11" s="4" t="s">
        <v>231</v>
      </c>
      <c r="U11" s="4">
        <v>0</v>
      </c>
      <c r="V11" s="4">
        <v>84</v>
      </c>
      <c r="W11" s="4">
        <v>34</v>
      </c>
    </row>
    <row r="12" spans="1:23" ht="11.25" customHeight="1" x14ac:dyDescent="0.3">
      <c r="A12" s="4" t="s">
        <v>21</v>
      </c>
      <c r="B12" s="4" t="s">
        <v>36</v>
      </c>
      <c r="C12" s="4" t="s">
        <v>37</v>
      </c>
      <c r="D12" s="4" t="s">
        <v>35</v>
      </c>
      <c r="E12" s="4" t="s">
        <v>25</v>
      </c>
      <c r="F12" s="4" t="s">
        <v>25</v>
      </c>
      <c r="G12" s="4" t="s">
        <v>25</v>
      </c>
      <c r="H12" s="4" t="s">
        <v>39</v>
      </c>
      <c r="I12" s="5">
        <v>44593</v>
      </c>
      <c r="J12" s="6">
        <v>0</v>
      </c>
      <c r="K12" s="6">
        <v>0</v>
      </c>
      <c r="L12" s="6">
        <v>189.31</v>
      </c>
      <c r="M12" s="6">
        <v>189.31</v>
      </c>
      <c r="N12" s="6">
        <v>189.31</v>
      </c>
      <c r="O12" s="6">
        <v>189.31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232</v>
      </c>
      <c r="U12" s="4">
        <v>0</v>
      </c>
      <c r="V12" s="4">
        <v>84</v>
      </c>
      <c r="W12" s="4">
        <v>34</v>
      </c>
    </row>
    <row r="13" spans="1:23" ht="11.25" customHeight="1" x14ac:dyDescent="0.3">
      <c r="A13" s="4" t="s">
        <v>21</v>
      </c>
      <c r="B13" s="4" t="s">
        <v>36</v>
      </c>
      <c r="C13" s="4" t="s">
        <v>37</v>
      </c>
      <c r="D13" s="4" t="s">
        <v>35</v>
      </c>
      <c r="E13" s="4" t="s">
        <v>25</v>
      </c>
      <c r="F13" s="4" t="s">
        <v>25</v>
      </c>
      <c r="G13" s="4" t="s">
        <v>25</v>
      </c>
      <c r="H13" s="4" t="s">
        <v>39</v>
      </c>
      <c r="I13" s="5">
        <v>44621</v>
      </c>
      <c r="J13" s="6">
        <v>0</v>
      </c>
      <c r="K13" s="6">
        <v>0</v>
      </c>
      <c r="L13" s="6">
        <v>210.745</v>
      </c>
      <c r="M13" s="6">
        <v>210.745</v>
      </c>
      <c r="N13" s="6">
        <v>210.745</v>
      </c>
      <c r="O13" s="6">
        <v>210.745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233</v>
      </c>
      <c r="U13" s="4">
        <v>0</v>
      </c>
      <c r="V13" s="4">
        <v>84</v>
      </c>
      <c r="W13" s="4">
        <v>34</v>
      </c>
    </row>
    <row r="14" spans="1:23" ht="11.25" customHeight="1" x14ac:dyDescent="0.3">
      <c r="A14" s="4" t="s">
        <v>21</v>
      </c>
      <c r="B14" s="4" t="s">
        <v>36</v>
      </c>
      <c r="C14" s="4" t="s">
        <v>37</v>
      </c>
      <c r="D14" s="4" t="s">
        <v>35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44287</v>
      </c>
      <c r="J14" s="6">
        <v>1190</v>
      </c>
      <c r="K14" s="6">
        <v>1190</v>
      </c>
      <c r="L14" s="6">
        <v>0</v>
      </c>
      <c r="M14" s="6">
        <v>0</v>
      </c>
      <c r="N14" s="6">
        <v>0</v>
      </c>
      <c r="O14" s="6">
        <v>0</v>
      </c>
      <c r="P14" s="6">
        <v>11</v>
      </c>
      <c r="Q14" s="4" t="s">
        <v>26</v>
      </c>
      <c r="R14" s="4">
        <v>0</v>
      </c>
      <c r="S14" s="4" t="s">
        <v>101</v>
      </c>
      <c r="U14" s="4">
        <v>80</v>
      </c>
      <c r="V14" s="4">
        <v>0</v>
      </c>
      <c r="W14" s="4">
        <v>0</v>
      </c>
    </row>
    <row r="15" spans="1:23" ht="11.25" customHeight="1" x14ac:dyDescent="0.3">
      <c r="A15" s="4" t="s">
        <v>21</v>
      </c>
      <c r="B15" s="4" t="s">
        <v>36</v>
      </c>
      <c r="C15" s="4" t="s">
        <v>37</v>
      </c>
      <c r="D15" s="4" t="s">
        <v>35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44317</v>
      </c>
      <c r="J15" s="6">
        <v>1175</v>
      </c>
      <c r="K15" s="6">
        <v>1175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4" t="s">
        <v>26</v>
      </c>
      <c r="R15" s="4">
        <v>0</v>
      </c>
      <c r="S15" s="4" t="s">
        <v>102</v>
      </c>
      <c r="U15" s="4">
        <v>80</v>
      </c>
      <c r="V15" s="4">
        <v>0</v>
      </c>
      <c r="W15" s="4">
        <v>0</v>
      </c>
    </row>
    <row r="16" spans="1:23" ht="11.25" customHeight="1" x14ac:dyDescent="0.3">
      <c r="A16" s="4" t="s">
        <v>21</v>
      </c>
      <c r="B16" s="4" t="s">
        <v>36</v>
      </c>
      <c r="C16" s="4" t="s">
        <v>37</v>
      </c>
      <c r="D16" s="4" t="s">
        <v>35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44348</v>
      </c>
      <c r="J16" s="6">
        <v>1188</v>
      </c>
      <c r="K16" s="6">
        <v>1188</v>
      </c>
      <c r="L16" s="6">
        <v>0</v>
      </c>
      <c r="M16" s="6">
        <v>0</v>
      </c>
      <c r="N16" s="6">
        <v>0</v>
      </c>
      <c r="O16" s="6">
        <v>0</v>
      </c>
      <c r="P16" s="6">
        <v>11</v>
      </c>
      <c r="Q16" s="4" t="s">
        <v>26</v>
      </c>
      <c r="R16" s="4">
        <v>0</v>
      </c>
      <c r="S16" s="4" t="s">
        <v>103</v>
      </c>
      <c r="U16" s="4">
        <v>80</v>
      </c>
      <c r="V16" s="4">
        <v>0</v>
      </c>
      <c r="W16" s="4">
        <v>0</v>
      </c>
    </row>
    <row r="17" spans="1:23" ht="11.25" customHeight="1" x14ac:dyDescent="0.3">
      <c r="A17" s="4" t="s">
        <v>21</v>
      </c>
      <c r="B17" s="4" t="s">
        <v>36</v>
      </c>
      <c r="C17" s="4" t="s">
        <v>37</v>
      </c>
      <c r="D17" s="4" t="s">
        <v>35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44378</v>
      </c>
      <c r="J17" s="6">
        <v>1059</v>
      </c>
      <c r="K17" s="6">
        <v>1059</v>
      </c>
      <c r="L17" s="6">
        <v>0</v>
      </c>
      <c r="M17" s="6">
        <v>0</v>
      </c>
      <c r="N17" s="6">
        <v>0</v>
      </c>
      <c r="O17" s="6">
        <v>0</v>
      </c>
      <c r="P17" s="6">
        <v>11</v>
      </c>
      <c r="Q17" s="4" t="s">
        <v>26</v>
      </c>
      <c r="R17" s="4">
        <v>0</v>
      </c>
      <c r="S17" s="4" t="s">
        <v>104</v>
      </c>
      <c r="U17" s="4">
        <v>80</v>
      </c>
      <c r="V17" s="4">
        <v>0</v>
      </c>
      <c r="W17" s="4">
        <v>0</v>
      </c>
    </row>
    <row r="18" spans="1:23" ht="11.25" customHeight="1" x14ac:dyDescent="0.3">
      <c r="A18" s="4" t="s">
        <v>21</v>
      </c>
      <c r="B18" s="4" t="s">
        <v>36</v>
      </c>
      <c r="C18" s="4" t="s">
        <v>37</v>
      </c>
      <c r="D18" s="4" t="s">
        <v>35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44409</v>
      </c>
      <c r="J18" s="6">
        <v>1053</v>
      </c>
      <c r="K18" s="6">
        <v>1053</v>
      </c>
      <c r="L18" s="6">
        <v>0</v>
      </c>
      <c r="M18" s="6">
        <v>0</v>
      </c>
      <c r="N18" s="6">
        <v>0</v>
      </c>
      <c r="O18" s="6">
        <v>0</v>
      </c>
      <c r="P18" s="6">
        <v>11</v>
      </c>
      <c r="Q18" s="4" t="s">
        <v>26</v>
      </c>
      <c r="R18" s="4">
        <v>0</v>
      </c>
      <c r="S18" s="4" t="s">
        <v>105</v>
      </c>
      <c r="U18" s="4">
        <v>80</v>
      </c>
      <c r="V18" s="4">
        <v>0</v>
      </c>
      <c r="W18" s="4">
        <v>0</v>
      </c>
    </row>
    <row r="19" spans="1:23" ht="11.25" customHeight="1" x14ac:dyDescent="0.3">
      <c r="A19" s="4" t="s">
        <v>21</v>
      </c>
      <c r="B19" s="4" t="s">
        <v>36</v>
      </c>
      <c r="C19" s="4" t="s">
        <v>37</v>
      </c>
      <c r="D19" s="4" t="s">
        <v>35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44440</v>
      </c>
      <c r="J19" s="6">
        <v>1083</v>
      </c>
      <c r="K19" s="6">
        <v>1083</v>
      </c>
      <c r="L19" s="6">
        <v>0</v>
      </c>
      <c r="M19" s="6">
        <v>0</v>
      </c>
      <c r="N19" s="6">
        <v>0</v>
      </c>
      <c r="O19" s="6">
        <v>0</v>
      </c>
      <c r="P19" s="6">
        <v>11</v>
      </c>
      <c r="Q19" s="4" t="s">
        <v>26</v>
      </c>
      <c r="R19" s="4">
        <v>0</v>
      </c>
      <c r="S19" s="4" t="s">
        <v>106</v>
      </c>
      <c r="U19" s="4">
        <v>80</v>
      </c>
      <c r="V19" s="4">
        <v>0</v>
      </c>
      <c r="W19" s="4">
        <v>0</v>
      </c>
    </row>
    <row r="20" spans="1:23" ht="11.25" customHeight="1" x14ac:dyDescent="0.3">
      <c r="A20" s="4" t="s">
        <v>21</v>
      </c>
      <c r="B20" s="4" t="s">
        <v>36</v>
      </c>
      <c r="C20" s="4" t="s">
        <v>37</v>
      </c>
      <c r="D20" s="4" t="s">
        <v>35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44470</v>
      </c>
      <c r="J20" s="6">
        <v>1072</v>
      </c>
      <c r="K20" s="6">
        <v>1072</v>
      </c>
      <c r="L20" s="6">
        <v>0</v>
      </c>
      <c r="M20" s="6">
        <v>0</v>
      </c>
      <c r="N20" s="6">
        <v>0</v>
      </c>
      <c r="O20" s="6">
        <v>0</v>
      </c>
      <c r="P20" s="6">
        <v>11</v>
      </c>
      <c r="Q20" s="4" t="s">
        <v>26</v>
      </c>
      <c r="R20" s="4">
        <v>0</v>
      </c>
      <c r="S20" s="4" t="s">
        <v>107</v>
      </c>
      <c r="U20" s="4">
        <v>80</v>
      </c>
      <c r="V20" s="4">
        <v>0</v>
      </c>
      <c r="W20" s="4">
        <v>0</v>
      </c>
    </row>
    <row r="21" spans="1:23" ht="11.25" customHeight="1" x14ac:dyDescent="0.3">
      <c r="A21" s="4" t="s">
        <v>21</v>
      </c>
      <c r="B21" s="4" t="s">
        <v>36</v>
      </c>
      <c r="C21" s="4" t="s">
        <v>37</v>
      </c>
      <c r="D21" s="4" t="s">
        <v>35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44501</v>
      </c>
      <c r="J21" s="6">
        <v>1119</v>
      </c>
      <c r="K21" s="6">
        <v>1119</v>
      </c>
      <c r="L21" s="6">
        <v>0</v>
      </c>
      <c r="M21" s="6">
        <v>0</v>
      </c>
      <c r="N21" s="6">
        <v>0</v>
      </c>
      <c r="O21" s="6">
        <v>0</v>
      </c>
      <c r="P21" s="6">
        <v>11</v>
      </c>
      <c r="Q21" s="4" t="s">
        <v>26</v>
      </c>
      <c r="R21" s="4">
        <v>0</v>
      </c>
      <c r="S21" s="4" t="s">
        <v>108</v>
      </c>
      <c r="U21" s="4">
        <v>80</v>
      </c>
      <c r="V21" s="4">
        <v>0</v>
      </c>
      <c r="W21" s="4">
        <v>0</v>
      </c>
    </row>
    <row r="22" spans="1:23" ht="11.25" customHeight="1" x14ac:dyDescent="0.3">
      <c r="A22" s="4" t="s">
        <v>21</v>
      </c>
      <c r="B22" s="4" t="s">
        <v>36</v>
      </c>
      <c r="C22" s="4" t="s">
        <v>37</v>
      </c>
      <c r="D22" s="4" t="s">
        <v>35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44531</v>
      </c>
      <c r="J22" s="6">
        <v>1103</v>
      </c>
      <c r="K22" s="6">
        <v>1103</v>
      </c>
      <c r="L22" s="6">
        <v>0</v>
      </c>
      <c r="M22" s="6">
        <v>0</v>
      </c>
      <c r="N22" s="6">
        <v>0</v>
      </c>
      <c r="O22" s="6">
        <v>0</v>
      </c>
      <c r="P22" s="6">
        <v>11</v>
      </c>
      <c r="Q22" s="4" t="s">
        <v>26</v>
      </c>
      <c r="R22" s="4">
        <v>0</v>
      </c>
      <c r="S22" s="4" t="s">
        <v>109</v>
      </c>
      <c r="U22" s="4">
        <v>80</v>
      </c>
      <c r="V22" s="4">
        <v>0</v>
      </c>
      <c r="W22" s="4">
        <v>0</v>
      </c>
    </row>
    <row r="23" spans="1:23" ht="11.25" customHeight="1" x14ac:dyDescent="0.3">
      <c r="A23" s="4" t="s">
        <v>21</v>
      </c>
      <c r="B23" s="4" t="s">
        <v>36</v>
      </c>
      <c r="C23" s="4" t="s">
        <v>37</v>
      </c>
      <c r="D23" s="4" t="s">
        <v>35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44562</v>
      </c>
      <c r="J23" s="6">
        <v>1152</v>
      </c>
      <c r="K23" s="6">
        <v>1152</v>
      </c>
      <c r="L23" s="6">
        <v>0</v>
      </c>
      <c r="M23" s="6">
        <v>0</v>
      </c>
      <c r="N23" s="6">
        <v>0</v>
      </c>
      <c r="O23" s="6">
        <v>0</v>
      </c>
      <c r="P23" s="6">
        <v>12</v>
      </c>
      <c r="Q23" s="4" t="s">
        <v>26</v>
      </c>
      <c r="R23" s="4">
        <v>0</v>
      </c>
      <c r="S23" s="4" t="s">
        <v>110</v>
      </c>
      <c r="U23" s="4">
        <v>80</v>
      </c>
      <c r="V23" s="4">
        <v>0</v>
      </c>
      <c r="W23" s="4">
        <v>0</v>
      </c>
    </row>
    <row r="24" spans="1:23" ht="11.25" customHeight="1" x14ac:dyDescent="0.3">
      <c r="A24" s="4" t="s">
        <v>21</v>
      </c>
      <c r="B24" s="4" t="s">
        <v>36</v>
      </c>
      <c r="C24" s="4" t="s">
        <v>37</v>
      </c>
      <c r="D24" s="4" t="s">
        <v>35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44593</v>
      </c>
      <c r="J24" s="6">
        <v>1202</v>
      </c>
      <c r="K24" s="6">
        <v>1202</v>
      </c>
      <c r="L24" s="6">
        <v>0</v>
      </c>
      <c r="M24" s="6">
        <v>0</v>
      </c>
      <c r="N24" s="6">
        <v>0</v>
      </c>
      <c r="O24" s="6">
        <v>0</v>
      </c>
      <c r="P24" s="6">
        <v>12</v>
      </c>
      <c r="Q24" s="4" t="s">
        <v>26</v>
      </c>
      <c r="R24" s="4">
        <v>0</v>
      </c>
      <c r="S24" s="4" t="s">
        <v>111</v>
      </c>
      <c r="U24" s="4">
        <v>80</v>
      </c>
      <c r="V24" s="4">
        <v>0</v>
      </c>
      <c r="W24" s="4">
        <v>0</v>
      </c>
    </row>
    <row r="25" spans="1:23" ht="11.25" customHeight="1" x14ac:dyDescent="0.3">
      <c r="A25" s="4" t="s">
        <v>21</v>
      </c>
      <c r="B25" s="4" t="s">
        <v>36</v>
      </c>
      <c r="C25" s="4" t="s">
        <v>37</v>
      </c>
      <c r="D25" s="4" t="s">
        <v>35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44621</v>
      </c>
      <c r="J25" s="6">
        <v>1222</v>
      </c>
      <c r="K25" s="6">
        <v>1222</v>
      </c>
      <c r="L25" s="6">
        <v>0</v>
      </c>
      <c r="M25" s="6">
        <v>0</v>
      </c>
      <c r="N25" s="6">
        <v>0</v>
      </c>
      <c r="O25" s="6">
        <v>0</v>
      </c>
      <c r="P25" s="6">
        <v>12</v>
      </c>
      <c r="Q25" s="4" t="s">
        <v>26</v>
      </c>
      <c r="R25" s="4">
        <v>0</v>
      </c>
      <c r="S25" s="4" t="s">
        <v>112</v>
      </c>
      <c r="U25" s="4">
        <v>80</v>
      </c>
      <c r="V25" s="4">
        <v>0</v>
      </c>
      <c r="W25" s="4">
        <v>0</v>
      </c>
    </row>
    <row r="26" spans="1:23" ht="11.25" customHeight="1" x14ac:dyDescent="0.3">
      <c r="A26" s="4" t="s">
        <v>21</v>
      </c>
      <c r="B26" s="4" t="s">
        <v>36</v>
      </c>
      <c r="C26" s="4" t="s">
        <v>37</v>
      </c>
      <c r="D26" s="4" t="s">
        <v>35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44287</v>
      </c>
      <c r="J26" s="6">
        <v>0</v>
      </c>
      <c r="K26" s="6">
        <v>0</v>
      </c>
      <c r="L26" s="6">
        <v>10.188000000000001</v>
      </c>
      <c r="M26" s="6">
        <v>10.188000000000001</v>
      </c>
      <c r="N26" s="6">
        <v>10.188000000000001</v>
      </c>
      <c r="O26" s="6">
        <v>10.188000000000001</v>
      </c>
      <c r="P26" s="6">
        <v>0</v>
      </c>
      <c r="Q26" s="4" t="s">
        <v>26</v>
      </c>
      <c r="R26" s="4">
        <v>0</v>
      </c>
      <c r="S26" s="4" t="s">
        <v>113</v>
      </c>
      <c r="T26" s="4" t="s">
        <v>238</v>
      </c>
      <c r="U26" s="4">
        <v>0</v>
      </c>
      <c r="V26" s="4">
        <v>83</v>
      </c>
      <c r="W26" s="4">
        <v>53</v>
      </c>
    </row>
    <row r="27" spans="1:23" ht="11.25" customHeight="1" x14ac:dyDescent="0.3">
      <c r="A27" s="4" t="s">
        <v>21</v>
      </c>
      <c r="B27" s="4" t="s">
        <v>36</v>
      </c>
      <c r="C27" s="4" t="s">
        <v>37</v>
      </c>
      <c r="D27" s="4" t="s">
        <v>35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44317</v>
      </c>
      <c r="J27" s="6">
        <v>0</v>
      </c>
      <c r="K27" s="6">
        <v>0</v>
      </c>
      <c r="L27" s="6">
        <v>9.8439999999999994</v>
      </c>
      <c r="M27" s="6">
        <v>9.8439999999999994</v>
      </c>
      <c r="N27" s="6">
        <v>9.8439999999999994</v>
      </c>
      <c r="O27" s="6">
        <v>9.8439999999999994</v>
      </c>
      <c r="P27" s="6">
        <v>0</v>
      </c>
      <c r="Q27" s="4" t="s">
        <v>26</v>
      </c>
      <c r="R27" s="4">
        <v>0</v>
      </c>
      <c r="S27" s="4" t="s">
        <v>114</v>
      </c>
      <c r="T27" s="4" t="s">
        <v>239</v>
      </c>
      <c r="U27" s="4">
        <v>0</v>
      </c>
      <c r="V27" s="4">
        <v>83</v>
      </c>
      <c r="W27" s="4">
        <v>53</v>
      </c>
    </row>
    <row r="28" spans="1:23" ht="11.25" customHeight="1" x14ac:dyDescent="0.3">
      <c r="A28" s="4" t="s">
        <v>21</v>
      </c>
      <c r="B28" s="4" t="s">
        <v>36</v>
      </c>
      <c r="C28" s="4" t="s">
        <v>37</v>
      </c>
      <c r="D28" s="4" t="s">
        <v>35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44348</v>
      </c>
      <c r="J28" s="6">
        <v>0</v>
      </c>
      <c r="K28" s="6">
        <v>0</v>
      </c>
      <c r="L28" s="6">
        <v>10.141999999999999</v>
      </c>
      <c r="M28" s="6">
        <v>10.141999999999999</v>
      </c>
      <c r="N28" s="6">
        <v>10.141999999999999</v>
      </c>
      <c r="O28" s="6">
        <v>10.141999999999999</v>
      </c>
      <c r="P28" s="6">
        <v>0</v>
      </c>
      <c r="Q28" s="4" t="s">
        <v>26</v>
      </c>
      <c r="R28" s="4">
        <v>0</v>
      </c>
      <c r="S28" s="4" t="s">
        <v>115</v>
      </c>
      <c r="T28" s="4" t="s">
        <v>240</v>
      </c>
      <c r="U28" s="4">
        <v>0</v>
      </c>
      <c r="V28" s="4">
        <v>83</v>
      </c>
      <c r="W28" s="4">
        <v>53</v>
      </c>
    </row>
    <row r="29" spans="1:23" ht="11.25" customHeight="1" x14ac:dyDescent="0.3">
      <c r="A29" s="4" t="s">
        <v>21</v>
      </c>
      <c r="B29" s="4" t="s">
        <v>36</v>
      </c>
      <c r="C29" s="4" t="s">
        <v>37</v>
      </c>
      <c r="D29" s="4" t="s">
        <v>35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44378</v>
      </c>
      <c r="J29" s="6">
        <v>0</v>
      </c>
      <c r="K29" s="6">
        <v>0</v>
      </c>
      <c r="L29" s="6">
        <v>12.973000000000001</v>
      </c>
      <c r="M29" s="6">
        <v>12.973000000000001</v>
      </c>
      <c r="N29" s="6">
        <v>12.973000000000001</v>
      </c>
      <c r="O29" s="6">
        <v>12.973000000000001</v>
      </c>
      <c r="P29" s="6">
        <v>0</v>
      </c>
      <c r="Q29" s="4" t="s">
        <v>26</v>
      </c>
      <c r="R29" s="4">
        <v>0</v>
      </c>
      <c r="S29" s="4" t="s">
        <v>116</v>
      </c>
      <c r="T29" s="4" t="s">
        <v>241</v>
      </c>
      <c r="U29" s="4">
        <v>0</v>
      </c>
      <c r="V29" s="4">
        <v>83</v>
      </c>
      <c r="W29" s="4">
        <v>53</v>
      </c>
    </row>
    <row r="30" spans="1:23" ht="11.25" customHeight="1" x14ac:dyDescent="0.3">
      <c r="A30" s="4" t="s">
        <v>21</v>
      </c>
      <c r="B30" s="4" t="s">
        <v>36</v>
      </c>
      <c r="C30" s="4" t="s">
        <v>37</v>
      </c>
      <c r="D30" s="4" t="s">
        <v>35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44409</v>
      </c>
      <c r="J30" s="6">
        <v>0</v>
      </c>
      <c r="K30" s="6">
        <v>0</v>
      </c>
      <c r="L30" s="6">
        <v>11.686999999999999</v>
      </c>
      <c r="M30" s="6">
        <v>11.686999999999999</v>
      </c>
      <c r="N30" s="6">
        <v>11.686999999999999</v>
      </c>
      <c r="O30" s="6">
        <v>11.686999999999999</v>
      </c>
      <c r="P30" s="6">
        <v>0</v>
      </c>
      <c r="Q30" s="4" t="s">
        <v>26</v>
      </c>
      <c r="R30" s="4">
        <v>0</v>
      </c>
      <c r="S30" s="4" t="s">
        <v>117</v>
      </c>
      <c r="T30" s="4" t="s">
        <v>242</v>
      </c>
      <c r="U30" s="4">
        <v>0</v>
      </c>
      <c r="V30" s="4">
        <v>83</v>
      </c>
      <c r="W30" s="4">
        <v>53</v>
      </c>
    </row>
    <row r="31" spans="1:23" ht="11.25" customHeight="1" x14ac:dyDescent="0.3">
      <c r="A31" s="4" t="s">
        <v>21</v>
      </c>
      <c r="B31" s="4" t="s">
        <v>36</v>
      </c>
      <c r="C31" s="4" t="s">
        <v>37</v>
      </c>
      <c r="D31" s="4" t="s">
        <v>35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44440</v>
      </c>
      <c r="J31" s="6">
        <v>0</v>
      </c>
      <c r="K31" s="6">
        <v>0</v>
      </c>
      <c r="L31" s="6">
        <v>11.996</v>
      </c>
      <c r="M31" s="6">
        <v>11.996</v>
      </c>
      <c r="N31" s="6">
        <v>11.996</v>
      </c>
      <c r="O31" s="6">
        <v>11.996</v>
      </c>
      <c r="P31" s="6">
        <v>0</v>
      </c>
      <c r="Q31" s="4" t="s">
        <v>26</v>
      </c>
      <c r="R31" s="4">
        <v>0</v>
      </c>
      <c r="S31" s="4" t="s">
        <v>118</v>
      </c>
      <c r="T31" s="4" t="s">
        <v>243</v>
      </c>
      <c r="U31" s="4">
        <v>0</v>
      </c>
      <c r="V31" s="4">
        <v>83</v>
      </c>
      <c r="W31" s="4">
        <v>53</v>
      </c>
    </row>
    <row r="32" spans="1:23" ht="11.25" customHeight="1" x14ac:dyDescent="0.3">
      <c r="A32" s="4" t="s">
        <v>21</v>
      </c>
      <c r="B32" s="4" t="s">
        <v>36</v>
      </c>
      <c r="C32" s="4" t="s">
        <v>37</v>
      </c>
      <c r="D32" s="4" t="s">
        <v>35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44470</v>
      </c>
      <c r="J32" s="6">
        <v>0</v>
      </c>
      <c r="K32" s="6">
        <v>0</v>
      </c>
      <c r="L32" s="6">
        <v>10.98</v>
      </c>
      <c r="M32" s="6">
        <v>10.98</v>
      </c>
      <c r="N32" s="6">
        <v>10.98</v>
      </c>
      <c r="O32" s="6">
        <v>10.98</v>
      </c>
      <c r="P32" s="6">
        <v>0</v>
      </c>
      <c r="Q32" s="4" t="s">
        <v>26</v>
      </c>
      <c r="R32" s="4">
        <v>0</v>
      </c>
      <c r="S32" s="4" t="s">
        <v>119</v>
      </c>
      <c r="T32" s="4" t="s">
        <v>244</v>
      </c>
      <c r="U32" s="4">
        <v>0</v>
      </c>
      <c r="V32" s="4">
        <v>83</v>
      </c>
      <c r="W32" s="4">
        <v>53</v>
      </c>
    </row>
    <row r="33" spans="1:23" ht="11.25" customHeight="1" x14ac:dyDescent="0.3">
      <c r="A33" s="4" t="s">
        <v>21</v>
      </c>
      <c r="B33" s="4" t="s">
        <v>36</v>
      </c>
      <c r="C33" s="4" t="s">
        <v>37</v>
      </c>
      <c r="D33" s="4" t="s">
        <v>35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44501</v>
      </c>
      <c r="J33" s="6">
        <v>0</v>
      </c>
      <c r="K33" s="6">
        <v>0</v>
      </c>
      <c r="L33" s="6">
        <v>12.537000000000001</v>
      </c>
      <c r="M33" s="6">
        <v>12.537000000000001</v>
      </c>
      <c r="N33" s="6">
        <v>12.537000000000001</v>
      </c>
      <c r="O33" s="6">
        <v>12.537000000000001</v>
      </c>
      <c r="P33" s="6">
        <v>0</v>
      </c>
      <c r="Q33" s="4" t="s">
        <v>26</v>
      </c>
      <c r="R33" s="4">
        <v>0</v>
      </c>
      <c r="S33" s="4" t="s">
        <v>120</v>
      </c>
      <c r="T33" s="4" t="s">
        <v>245</v>
      </c>
      <c r="U33" s="4">
        <v>0</v>
      </c>
      <c r="V33" s="4">
        <v>83</v>
      </c>
      <c r="W33" s="4">
        <v>53</v>
      </c>
    </row>
    <row r="34" spans="1:23" ht="11.25" customHeight="1" x14ac:dyDescent="0.3">
      <c r="A34" s="4" t="s">
        <v>21</v>
      </c>
      <c r="B34" s="4" t="s">
        <v>36</v>
      </c>
      <c r="C34" s="4" t="s">
        <v>37</v>
      </c>
      <c r="D34" s="4" t="s">
        <v>35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44531</v>
      </c>
      <c r="J34" s="6">
        <v>0</v>
      </c>
      <c r="K34" s="6">
        <v>0</v>
      </c>
      <c r="L34" s="6">
        <v>15.211</v>
      </c>
      <c r="M34" s="6">
        <v>15.211</v>
      </c>
      <c r="N34" s="6">
        <v>15.211</v>
      </c>
      <c r="O34" s="6">
        <v>15.211</v>
      </c>
      <c r="P34" s="6">
        <v>0</v>
      </c>
      <c r="Q34" s="4" t="s">
        <v>26</v>
      </c>
      <c r="R34" s="4">
        <v>0</v>
      </c>
      <c r="S34" s="4" t="s">
        <v>121</v>
      </c>
      <c r="T34" s="4" t="s">
        <v>246</v>
      </c>
      <c r="U34" s="4">
        <v>0</v>
      </c>
      <c r="V34" s="4">
        <v>83</v>
      </c>
      <c r="W34" s="4">
        <v>53</v>
      </c>
    </row>
    <row r="35" spans="1:23" ht="11.25" customHeight="1" x14ac:dyDescent="0.3">
      <c r="A35" s="4" t="s">
        <v>21</v>
      </c>
      <c r="B35" s="4" t="s">
        <v>36</v>
      </c>
      <c r="C35" s="4" t="s">
        <v>37</v>
      </c>
      <c r="D35" s="4" t="s">
        <v>35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44562</v>
      </c>
      <c r="J35" s="6">
        <v>0</v>
      </c>
      <c r="K35" s="6">
        <v>0</v>
      </c>
      <c r="L35" s="6">
        <v>14.808999999999999</v>
      </c>
      <c r="M35" s="6">
        <v>14.808999999999999</v>
      </c>
      <c r="N35" s="6">
        <v>14.808999999999999</v>
      </c>
      <c r="O35" s="6">
        <v>14.808999999999999</v>
      </c>
      <c r="P35" s="6">
        <v>0</v>
      </c>
      <c r="Q35" s="4" t="s">
        <v>26</v>
      </c>
      <c r="R35" s="4">
        <v>0</v>
      </c>
      <c r="S35" s="4" t="s">
        <v>122</v>
      </c>
      <c r="T35" s="4" t="s">
        <v>247</v>
      </c>
      <c r="U35" s="4">
        <v>0</v>
      </c>
      <c r="V35" s="4">
        <v>83</v>
      </c>
      <c r="W35" s="4">
        <v>53</v>
      </c>
    </row>
    <row r="36" spans="1:23" ht="11.25" customHeight="1" x14ac:dyDescent="0.3">
      <c r="A36" s="4" t="s">
        <v>21</v>
      </c>
      <c r="B36" s="4" t="s">
        <v>36</v>
      </c>
      <c r="C36" s="4" t="s">
        <v>37</v>
      </c>
      <c r="D36" s="4" t="s">
        <v>35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44593</v>
      </c>
      <c r="J36" s="6">
        <v>0</v>
      </c>
      <c r="K36" s="6">
        <v>0</v>
      </c>
      <c r="L36" s="6">
        <v>10.999000000000001</v>
      </c>
      <c r="M36" s="6">
        <v>10.999000000000001</v>
      </c>
      <c r="N36" s="6">
        <v>10.999000000000001</v>
      </c>
      <c r="O36" s="6">
        <v>10.999000000000001</v>
      </c>
      <c r="P36" s="6">
        <v>0</v>
      </c>
      <c r="Q36" s="4" t="s">
        <v>26</v>
      </c>
      <c r="R36" s="4">
        <v>0</v>
      </c>
      <c r="S36" s="4" t="s">
        <v>123</v>
      </c>
      <c r="T36" s="4" t="s">
        <v>248</v>
      </c>
      <c r="U36" s="4">
        <v>0</v>
      </c>
      <c r="V36" s="4">
        <v>83</v>
      </c>
      <c r="W36" s="4">
        <v>53</v>
      </c>
    </row>
    <row r="37" spans="1:23" ht="11.25" customHeight="1" x14ac:dyDescent="0.3">
      <c r="A37" s="4" t="s">
        <v>21</v>
      </c>
      <c r="B37" s="4" t="s">
        <v>36</v>
      </c>
      <c r="C37" s="4" t="s">
        <v>37</v>
      </c>
      <c r="D37" s="4" t="s">
        <v>35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44621</v>
      </c>
      <c r="J37" s="6">
        <v>0</v>
      </c>
      <c r="K37" s="6">
        <v>0</v>
      </c>
      <c r="L37" s="6">
        <v>14.484</v>
      </c>
      <c r="M37" s="6">
        <v>14.484</v>
      </c>
      <c r="N37" s="6">
        <v>14.484</v>
      </c>
      <c r="O37" s="6">
        <v>14.484</v>
      </c>
      <c r="P37" s="6">
        <v>0</v>
      </c>
      <c r="Q37" s="4" t="s">
        <v>26</v>
      </c>
      <c r="R37" s="4">
        <v>0</v>
      </c>
      <c r="S37" s="4" t="s">
        <v>124</v>
      </c>
      <c r="T37" s="4" t="s">
        <v>249</v>
      </c>
      <c r="U37" s="4">
        <v>0</v>
      </c>
      <c r="V37" s="4">
        <v>83</v>
      </c>
      <c r="W37" s="4">
        <v>53</v>
      </c>
    </row>
    <row r="38" spans="1:23" ht="11.25" customHeight="1" x14ac:dyDescent="0.3">
      <c r="A38" s="4" t="s">
        <v>21</v>
      </c>
      <c r="B38" s="4" t="s">
        <v>36</v>
      </c>
      <c r="C38" s="4" t="s">
        <v>37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39</v>
      </c>
      <c r="I38" s="5">
        <v>44531</v>
      </c>
      <c r="J38" s="6">
        <v>0</v>
      </c>
      <c r="K38" s="6">
        <v>0</v>
      </c>
      <c r="L38" s="6">
        <v>26.175999999999998</v>
      </c>
      <c r="M38" s="6">
        <v>26.175999999999998</v>
      </c>
      <c r="N38" s="6">
        <v>26.175999999999998</v>
      </c>
      <c r="O38" s="6">
        <v>26.175999999999998</v>
      </c>
      <c r="P38" s="6">
        <v>0</v>
      </c>
      <c r="Q38" s="4" t="s">
        <v>26</v>
      </c>
      <c r="R38" s="4">
        <v>0</v>
      </c>
      <c r="S38" s="4" t="s">
        <v>97</v>
      </c>
      <c r="T38" s="4" t="s">
        <v>230</v>
      </c>
      <c r="U38" s="4">
        <v>0</v>
      </c>
      <c r="V38" s="4">
        <v>84</v>
      </c>
      <c r="W38" s="4">
        <v>34</v>
      </c>
    </row>
    <row r="39" spans="1:23" ht="11.25" customHeight="1" x14ac:dyDescent="0.3">
      <c r="A39" s="4" t="s">
        <v>21</v>
      </c>
      <c r="B39" s="4" t="s">
        <v>36</v>
      </c>
      <c r="C39" s="4" t="s">
        <v>37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39</v>
      </c>
      <c r="I39" s="5">
        <v>44562</v>
      </c>
      <c r="J39" s="6">
        <v>0</v>
      </c>
      <c r="K39" s="6">
        <v>0</v>
      </c>
      <c r="L39" s="6">
        <v>25.919</v>
      </c>
      <c r="M39" s="6">
        <v>25.919</v>
      </c>
      <c r="N39" s="6">
        <v>25.919</v>
      </c>
      <c r="O39" s="6">
        <v>25.919</v>
      </c>
      <c r="P39" s="6">
        <v>0</v>
      </c>
      <c r="Q39" s="4" t="s">
        <v>26</v>
      </c>
      <c r="R39" s="4">
        <v>0</v>
      </c>
      <c r="S39" s="4" t="s">
        <v>98</v>
      </c>
      <c r="T39" s="4" t="s">
        <v>231</v>
      </c>
      <c r="U39" s="4">
        <v>0</v>
      </c>
      <c r="V39" s="4">
        <v>84</v>
      </c>
      <c r="W39" s="4">
        <v>34</v>
      </c>
    </row>
    <row r="40" spans="1:23" ht="11.25" customHeight="1" x14ac:dyDescent="0.3">
      <c r="A40" s="4" t="s">
        <v>21</v>
      </c>
      <c r="B40" s="4" t="s">
        <v>36</v>
      </c>
      <c r="C40" s="4" t="s">
        <v>37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39</v>
      </c>
      <c r="I40" s="5">
        <v>44593</v>
      </c>
      <c r="J40" s="6">
        <v>0</v>
      </c>
      <c r="K40" s="6">
        <v>0</v>
      </c>
      <c r="L40" s="6">
        <v>24.227</v>
      </c>
      <c r="M40" s="6">
        <v>24.227</v>
      </c>
      <c r="N40" s="6">
        <v>24.227</v>
      </c>
      <c r="O40" s="6">
        <v>24.227</v>
      </c>
      <c r="P40" s="6">
        <v>0</v>
      </c>
      <c r="Q40" s="4" t="s">
        <v>26</v>
      </c>
      <c r="R40" s="4">
        <v>0</v>
      </c>
      <c r="S40" s="4" t="s">
        <v>99</v>
      </c>
      <c r="T40" s="4" t="s">
        <v>232</v>
      </c>
      <c r="U40" s="4">
        <v>0</v>
      </c>
      <c r="V40" s="4">
        <v>84</v>
      </c>
      <c r="W40" s="4">
        <v>34</v>
      </c>
    </row>
    <row r="41" spans="1:23" ht="11.25" customHeight="1" x14ac:dyDescent="0.3">
      <c r="A41" s="4" t="s">
        <v>21</v>
      </c>
      <c r="B41" s="4" t="s">
        <v>36</v>
      </c>
      <c r="C41" s="4" t="s">
        <v>37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39</v>
      </c>
      <c r="I41" s="5">
        <v>44621</v>
      </c>
      <c r="J41" s="6">
        <v>0</v>
      </c>
      <c r="K41" s="6">
        <v>0</v>
      </c>
      <c r="L41" s="6">
        <v>27.097000000000001</v>
      </c>
      <c r="M41" s="6">
        <v>27.097000000000001</v>
      </c>
      <c r="N41" s="6">
        <v>27.097000000000001</v>
      </c>
      <c r="O41" s="6">
        <v>27.097000000000001</v>
      </c>
      <c r="P41" s="6">
        <v>0</v>
      </c>
      <c r="Q41" s="4" t="s">
        <v>26</v>
      </c>
      <c r="R41" s="4">
        <v>0</v>
      </c>
      <c r="S41" s="4" t="s">
        <v>100</v>
      </c>
      <c r="T41" s="4" t="s">
        <v>233</v>
      </c>
      <c r="U41" s="4">
        <v>0</v>
      </c>
      <c r="V41" s="4">
        <v>84</v>
      </c>
      <c r="W41" s="4">
        <v>34</v>
      </c>
    </row>
    <row r="42" spans="1:23" ht="11.25" customHeight="1" x14ac:dyDescent="0.3">
      <c r="A42" s="4" t="s">
        <v>21</v>
      </c>
      <c r="B42" s="4" t="s">
        <v>36</v>
      </c>
      <c r="C42" s="4" t="s">
        <v>37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125</v>
      </c>
      <c r="K42" s="6">
        <v>125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4" t="s">
        <v>26</v>
      </c>
      <c r="R42" s="4">
        <v>0</v>
      </c>
      <c r="S42" s="4" t="s">
        <v>109</v>
      </c>
      <c r="U42" s="4">
        <v>80</v>
      </c>
      <c r="V42" s="4">
        <v>0</v>
      </c>
      <c r="W42" s="4">
        <v>0</v>
      </c>
    </row>
    <row r="43" spans="1:23" ht="11.25" customHeight="1" x14ac:dyDescent="0.3">
      <c r="A43" s="4" t="s">
        <v>21</v>
      </c>
      <c r="B43" s="4" t="s">
        <v>36</v>
      </c>
      <c r="C43" s="4" t="s">
        <v>37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125</v>
      </c>
      <c r="K43" s="6">
        <v>125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4" t="s">
        <v>110</v>
      </c>
      <c r="U43" s="4">
        <v>80</v>
      </c>
      <c r="V43" s="4">
        <v>0</v>
      </c>
      <c r="W43" s="4">
        <v>0</v>
      </c>
    </row>
    <row r="44" spans="1:23" ht="11.25" customHeight="1" x14ac:dyDescent="0.3">
      <c r="A44" s="4" t="s">
        <v>21</v>
      </c>
      <c r="B44" s="4" t="s">
        <v>36</v>
      </c>
      <c r="C44" s="4" t="s">
        <v>37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125</v>
      </c>
      <c r="K44" s="6">
        <v>125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4" t="s">
        <v>26</v>
      </c>
      <c r="R44" s="4">
        <v>0</v>
      </c>
      <c r="S44" s="4" t="s">
        <v>111</v>
      </c>
      <c r="U44" s="4">
        <v>80</v>
      </c>
      <c r="V44" s="4">
        <v>0</v>
      </c>
      <c r="W44" s="4">
        <v>0</v>
      </c>
    </row>
    <row r="45" spans="1:23" ht="11.25" customHeight="1" x14ac:dyDescent="0.3">
      <c r="A45" s="4" t="s">
        <v>21</v>
      </c>
      <c r="B45" s="4" t="s">
        <v>36</v>
      </c>
      <c r="C45" s="4" t="s">
        <v>37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125</v>
      </c>
      <c r="K45" s="6">
        <v>125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4" t="s">
        <v>112</v>
      </c>
      <c r="U45" s="4">
        <v>80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36</v>
      </c>
      <c r="C46" s="4" t="s">
        <v>37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44531</v>
      </c>
      <c r="J46" s="6">
        <v>0</v>
      </c>
      <c r="K46" s="6">
        <v>0</v>
      </c>
      <c r="L46" s="6">
        <v>0.32</v>
      </c>
      <c r="M46" s="6">
        <v>0.32</v>
      </c>
      <c r="N46" s="6">
        <v>0.32</v>
      </c>
      <c r="O46" s="6">
        <v>0.32</v>
      </c>
      <c r="P46" s="6">
        <v>0</v>
      </c>
      <c r="Q46" s="4" t="s">
        <v>26</v>
      </c>
      <c r="R46" s="4">
        <v>0</v>
      </c>
      <c r="S46" s="4" t="s">
        <v>121</v>
      </c>
      <c r="T46" s="4" t="s">
        <v>246</v>
      </c>
      <c r="U46" s="4">
        <v>0</v>
      </c>
      <c r="V46" s="4">
        <v>83</v>
      </c>
      <c r="W46" s="4">
        <v>53</v>
      </c>
    </row>
    <row r="47" spans="1:23" ht="11.25" customHeight="1" x14ac:dyDescent="0.3">
      <c r="A47" s="4" t="s">
        <v>21</v>
      </c>
      <c r="B47" s="4" t="s">
        <v>36</v>
      </c>
      <c r="C47" s="4" t="s">
        <v>37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44562</v>
      </c>
      <c r="J47" s="6">
        <v>0</v>
      </c>
      <c r="K47" s="6">
        <v>0</v>
      </c>
      <c r="L47" s="6">
        <v>0.307</v>
      </c>
      <c r="M47" s="6">
        <v>0.307</v>
      </c>
      <c r="N47" s="6">
        <v>0.307</v>
      </c>
      <c r="O47" s="6">
        <v>0.307</v>
      </c>
      <c r="P47" s="6">
        <v>0</v>
      </c>
      <c r="Q47" s="4" t="s">
        <v>26</v>
      </c>
      <c r="R47" s="4">
        <v>0</v>
      </c>
      <c r="S47" s="4" t="s">
        <v>122</v>
      </c>
      <c r="T47" s="4" t="s">
        <v>247</v>
      </c>
      <c r="U47" s="4">
        <v>0</v>
      </c>
      <c r="V47" s="4">
        <v>83</v>
      </c>
      <c r="W47" s="4">
        <v>53</v>
      </c>
    </row>
    <row r="48" spans="1:23" ht="11.25" customHeight="1" x14ac:dyDescent="0.3">
      <c r="A48" s="4" t="s">
        <v>21</v>
      </c>
      <c r="B48" s="4" t="s">
        <v>36</v>
      </c>
      <c r="C48" s="4" t="s">
        <v>37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44593</v>
      </c>
      <c r="J48" s="6">
        <v>0</v>
      </c>
      <c r="K48" s="6">
        <v>0</v>
      </c>
      <c r="L48" s="6">
        <v>0.26600000000000001</v>
      </c>
      <c r="M48" s="6">
        <v>0.26600000000000001</v>
      </c>
      <c r="N48" s="6">
        <v>0.26600000000000001</v>
      </c>
      <c r="O48" s="6">
        <v>0.26600000000000001</v>
      </c>
      <c r="P48" s="6">
        <v>0</v>
      </c>
      <c r="Q48" s="4" t="s">
        <v>26</v>
      </c>
      <c r="R48" s="4">
        <v>0</v>
      </c>
      <c r="S48" s="4" t="s">
        <v>123</v>
      </c>
      <c r="T48" s="4" t="s">
        <v>248</v>
      </c>
      <c r="U48" s="4">
        <v>0</v>
      </c>
      <c r="V48" s="4">
        <v>83</v>
      </c>
      <c r="W48" s="4">
        <v>53</v>
      </c>
    </row>
    <row r="49" spans="1:23" ht="11.25" customHeight="1" x14ac:dyDescent="0.3">
      <c r="A49" s="4" t="s">
        <v>21</v>
      </c>
      <c r="B49" s="4" t="s">
        <v>36</v>
      </c>
      <c r="C49" s="4" t="s">
        <v>37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44621</v>
      </c>
      <c r="J49" s="6">
        <v>0</v>
      </c>
      <c r="K49" s="6">
        <v>0</v>
      </c>
      <c r="L49" s="6">
        <v>0.31</v>
      </c>
      <c r="M49" s="6">
        <v>0.31</v>
      </c>
      <c r="N49" s="6">
        <v>0.31</v>
      </c>
      <c r="O49" s="6">
        <v>0.31</v>
      </c>
      <c r="P49" s="6">
        <v>0</v>
      </c>
      <c r="Q49" s="4" t="s">
        <v>26</v>
      </c>
      <c r="R49" s="4">
        <v>0</v>
      </c>
      <c r="S49" s="4" t="s">
        <v>124</v>
      </c>
      <c r="T49" s="4" t="s">
        <v>249</v>
      </c>
      <c r="U49" s="4">
        <v>0</v>
      </c>
      <c r="V49" s="4">
        <v>83</v>
      </c>
      <c r="W49" s="4">
        <v>53</v>
      </c>
    </row>
    <row r="50" spans="1:23" ht="11.25" customHeight="1" x14ac:dyDescent="0.3">
      <c r="A50" s="4" t="s">
        <v>21</v>
      </c>
      <c r="B50" s="4" t="s">
        <v>36</v>
      </c>
      <c r="C50" s="4" t="s">
        <v>37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44287</v>
      </c>
      <c r="J50" s="6">
        <v>0</v>
      </c>
      <c r="K50" s="6">
        <v>0</v>
      </c>
      <c r="L50" s="6">
        <v>25.411000000000001</v>
      </c>
      <c r="M50" s="6">
        <v>24.394560000000002</v>
      </c>
      <c r="N50" s="6">
        <v>25.411000000000001</v>
      </c>
      <c r="O50" s="6">
        <v>24.394560000000002</v>
      </c>
      <c r="P50" s="6">
        <v>0</v>
      </c>
      <c r="Q50" s="4" t="s">
        <v>26</v>
      </c>
      <c r="R50" s="4">
        <v>0</v>
      </c>
      <c r="S50" s="4" t="s">
        <v>89</v>
      </c>
      <c r="T50" s="4" t="s">
        <v>222</v>
      </c>
      <c r="U50" s="4">
        <v>0</v>
      </c>
      <c r="V50" s="4">
        <v>84</v>
      </c>
      <c r="W50" s="4">
        <v>34</v>
      </c>
    </row>
    <row r="51" spans="1:23" ht="11.25" customHeight="1" x14ac:dyDescent="0.3">
      <c r="A51" s="4" t="s">
        <v>21</v>
      </c>
      <c r="B51" s="4" t="s">
        <v>36</v>
      </c>
      <c r="C51" s="4" t="s">
        <v>37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44317</v>
      </c>
      <c r="J51" s="6">
        <v>0</v>
      </c>
      <c r="K51" s="6">
        <v>0</v>
      </c>
      <c r="L51" s="6">
        <v>21.896000000000001</v>
      </c>
      <c r="M51" s="6">
        <v>21.020160000000001</v>
      </c>
      <c r="N51" s="6">
        <v>21.896000000000001</v>
      </c>
      <c r="O51" s="6">
        <v>21.020160000000001</v>
      </c>
      <c r="P51" s="6">
        <v>0</v>
      </c>
      <c r="Q51" s="4" t="s">
        <v>26</v>
      </c>
      <c r="R51" s="4">
        <v>0</v>
      </c>
      <c r="S51" s="4" t="s">
        <v>90</v>
      </c>
      <c r="T51" s="4" t="s">
        <v>223</v>
      </c>
      <c r="U51" s="4">
        <v>0</v>
      </c>
      <c r="V51" s="4">
        <v>84</v>
      </c>
      <c r="W51" s="4">
        <v>34</v>
      </c>
    </row>
    <row r="52" spans="1:23" ht="11.25" customHeight="1" x14ac:dyDescent="0.3">
      <c r="A52" s="4" t="s">
        <v>21</v>
      </c>
      <c r="B52" s="4" t="s">
        <v>36</v>
      </c>
      <c r="C52" s="4" t="s">
        <v>37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44348</v>
      </c>
      <c r="J52" s="6">
        <v>0</v>
      </c>
      <c r="K52" s="6">
        <v>0</v>
      </c>
      <c r="L52" s="6">
        <v>20.742999999999999</v>
      </c>
      <c r="M52" s="6">
        <v>19.91328</v>
      </c>
      <c r="N52" s="6">
        <v>20.742999999999999</v>
      </c>
      <c r="O52" s="6">
        <v>19.91328</v>
      </c>
      <c r="P52" s="6">
        <v>0</v>
      </c>
      <c r="Q52" s="4" t="s">
        <v>26</v>
      </c>
      <c r="R52" s="4">
        <v>0</v>
      </c>
      <c r="S52" s="4" t="s">
        <v>91</v>
      </c>
      <c r="T52" s="4" t="s">
        <v>224</v>
      </c>
      <c r="U52" s="4">
        <v>0</v>
      </c>
      <c r="V52" s="4">
        <v>84</v>
      </c>
      <c r="W52" s="4">
        <v>34</v>
      </c>
    </row>
    <row r="53" spans="1:23" ht="11.25" customHeight="1" x14ac:dyDescent="0.3">
      <c r="A53" s="4" t="s">
        <v>21</v>
      </c>
      <c r="B53" s="4" t="s">
        <v>36</v>
      </c>
      <c r="C53" s="4" t="s">
        <v>37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44378</v>
      </c>
      <c r="J53" s="6">
        <v>0</v>
      </c>
      <c r="K53" s="6">
        <v>0</v>
      </c>
      <c r="L53" s="6">
        <v>18.995000000000001</v>
      </c>
      <c r="M53" s="6">
        <v>18.235199999999999</v>
      </c>
      <c r="N53" s="6">
        <v>18.995000000000001</v>
      </c>
      <c r="O53" s="6">
        <v>18.235199999999999</v>
      </c>
      <c r="P53" s="6">
        <v>0</v>
      </c>
      <c r="Q53" s="4" t="s">
        <v>26</v>
      </c>
      <c r="R53" s="4">
        <v>0</v>
      </c>
      <c r="S53" s="4" t="s">
        <v>92</v>
      </c>
      <c r="T53" s="4" t="s">
        <v>225</v>
      </c>
      <c r="U53" s="4">
        <v>0</v>
      </c>
      <c r="V53" s="4">
        <v>84</v>
      </c>
      <c r="W53" s="4">
        <v>34</v>
      </c>
    </row>
    <row r="54" spans="1:23" ht="11.25" customHeight="1" x14ac:dyDescent="0.3">
      <c r="A54" s="4" t="s">
        <v>21</v>
      </c>
      <c r="B54" s="4" t="s">
        <v>36</v>
      </c>
      <c r="C54" s="4" t="s">
        <v>37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44409</v>
      </c>
      <c r="J54" s="6">
        <v>0</v>
      </c>
      <c r="K54" s="6">
        <v>0</v>
      </c>
      <c r="L54" s="6">
        <v>19.219000000000001</v>
      </c>
      <c r="M54" s="6">
        <v>18.450240000000001</v>
      </c>
      <c r="N54" s="6">
        <v>19.219000000000001</v>
      </c>
      <c r="O54" s="6">
        <v>18.450240000000001</v>
      </c>
      <c r="P54" s="6">
        <v>0</v>
      </c>
      <c r="Q54" s="4" t="s">
        <v>26</v>
      </c>
      <c r="R54" s="4">
        <v>0</v>
      </c>
      <c r="S54" s="4" t="s">
        <v>93</v>
      </c>
      <c r="T54" s="4" t="s">
        <v>226</v>
      </c>
      <c r="U54" s="4">
        <v>0</v>
      </c>
      <c r="V54" s="4">
        <v>84</v>
      </c>
      <c r="W54" s="4">
        <v>34</v>
      </c>
    </row>
    <row r="55" spans="1:23" ht="11.25" customHeight="1" x14ac:dyDescent="0.3">
      <c r="A55" s="4" t="s">
        <v>21</v>
      </c>
      <c r="B55" s="4" t="s">
        <v>36</v>
      </c>
      <c r="C55" s="4" t="s">
        <v>37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44440</v>
      </c>
      <c r="J55" s="6">
        <v>0</v>
      </c>
      <c r="K55" s="6">
        <v>0</v>
      </c>
      <c r="L55" s="6">
        <v>20.25</v>
      </c>
      <c r="M55" s="6">
        <v>19.440000000000001</v>
      </c>
      <c r="N55" s="6">
        <v>20.25</v>
      </c>
      <c r="O55" s="6">
        <v>19.440000000000001</v>
      </c>
      <c r="P55" s="6">
        <v>0</v>
      </c>
      <c r="Q55" s="4" t="s">
        <v>26</v>
      </c>
      <c r="R55" s="4">
        <v>0</v>
      </c>
      <c r="S55" s="4" t="s">
        <v>94</v>
      </c>
      <c r="T55" s="4" t="s">
        <v>227</v>
      </c>
      <c r="U55" s="4">
        <v>0</v>
      </c>
      <c r="V55" s="4">
        <v>84</v>
      </c>
      <c r="W55" s="4">
        <v>34</v>
      </c>
    </row>
    <row r="56" spans="1:23" ht="11.25" customHeight="1" x14ac:dyDescent="0.3">
      <c r="A56" s="4" t="s">
        <v>21</v>
      </c>
      <c r="B56" s="4" t="s">
        <v>36</v>
      </c>
      <c r="C56" s="4" t="s">
        <v>37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44470</v>
      </c>
      <c r="J56" s="6">
        <v>0</v>
      </c>
      <c r="K56" s="6">
        <v>0</v>
      </c>
      <c r="L56" s="6">
        <v>21.521000000000001</v>
      </c>
      <c r="M56" s="6">
        <v>20.660160000000001</v>
      </c>
      <c r="N56" s="6">
        <v>21.521000000000001</v>
      </c>
      <c r="O56" s="6">
        <v>20.660160000000001</v>
      </c>
      <c r="P56" s="6">
        <v>0</v>
      </c>
      <c r="Q56" s="4" t="s">
        <v>26</v>
      </c>
      <c r="R56" s="4">
        <v>0</v>
      </c>
      <c r="S56" s="4" t="s">
        <v>95</v>
      </c>
      <c r="T56" s="4" t="s">
        <v>228</v>
      </c>
      <c r="U56" s="4">
        <v>0</v>
      </c>
      <c r="V56" s="4">
        <v>84</v>
      </c>
      <c r="W56" s="4">
        <v>34</v>
      </c>
    </row>
    <row r="57" spans="1:23" ht="11.25" customHeight="1" x14ac:dyDescent="0.3">
      <c r="A57" s="4" t="s">
        <v>21</v>
      </c>
      <c r="B57" s="4" t="s">
        <v>36</v>
      </c>
      <c r="C57" s="4" t="s">
        <v>37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44501</v>
      </c>
      <c r="J57" s="6">
        <v>0</v>
      </c>
      <c r="K57" s="6">
        <v>0</v>
      </c>
      <c r="L57" s="6">
        <v>23.323</v>
      </c>
      <c r="M57" s="6">
        <v>22.390080000000001</v>
      </c>
      <c r="N57" s="6">
        <v>23.323</v>
      </c>
      <c r="O57" s="6">
        <v>22.390080000000001</v>
      </c>
      <c r="P57" s="6">
        <v>0</v>
      </c>
      <c r="Q57" s="4" t="s">
        <v>26</v>
      </c>
      <c r="R57" s="4">
        <v>0</v>
      </c>
      <c r="S57" s="4" t="s">
        <v>96</v>
      </c>
      <c r="T57" s="4" t="s">
        <v>229</v>
      </c>
      <c r="U57" s="4">
        <v>0</v>
      </c>
      <c r="V57" s="4">
        <v>84</v>
      </c>
      <c r="W57" s="4">
        <v>34</v>
      </c>
    </row>
    <row r="58" spans="1:23" ht="11.25" customHeight="1" x14ac:dyDescent="0.3">
      <c r="A58" s="4" t="s">
        <v>21</v>
      </c>
      <c r="B58" s="4" t="s">
        <v>36</v>
      </c>
      <c r="C58" s="4" t="s">
        <v>37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44287</v>
      </c>
      <c r="J58" s="6">
        <v>125</v>
      </c>
      <c r="K58" s="6">
        <v>120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4" t="s">
        <v>26</v>
      </c>
      <c r="R58" s="4">
        <v>0</v>
      </c>
      <c r="S58" s="4" t="s">
        <v>101</v>
      </c>
      <c r="U58" s="4">
        <v>80</v>
      </c>
      <c r="V58" s="4">
        <v>0</v>
      </c>
      <c r="W58" s="4">
        <v>0</v>
      </c>
    </row>
    <row r="59" spans="1:23" ht="11.25" customHeight="1" x14ac:dyDescent="0.3">
      <c r="A59" s="4" t="s">
        <v>21</v>
      </c>
      <c r="B59" s="4" t="s">
        <v>36</v>
      </c>
      <c r="C59" s="4" t="s">
        <v>37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44317</v>
      </c>
      <c r="J59" s="6">
        <v>125</v>
      </c>
      <c r="K59" s="6">
        <v>120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4" t="s">
        <v>26</v>
      </c>
      <c r="R59" s="4">
        <v>0</v>
      </c>
      <c r="S59" s="4" t="s">
        <v>102</v>
      </c>
      <c r="U59" s="4">
        <v>80</v>
      </c>
      <c r="V59" s="4">
        <v>0</v>
      </c>
      <c r="W59" s="4">
        <v>0</v>
      </c>
    </row>
    <row r="60" spans="1:23" ht="11.25" customHeight="1" x14ac:dyDescent="0.3">
      <c r="A60" s="4" t="s">
        <v>21</v>
      </c>
      <c r="B60" s="4" t="s">
        <v>36</v>
      </c>
      <c r="C60" s="4" t="s">
        <v>37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44348</v>
      </c>
      <c r="J60" s="6">
        <v>125</v>
      </c>
      <c r="K60" s="6">
        <v>120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4" t="s">
        <v>26</v>
      </c>
      <c r="R60" s="4">
        <v>0</v>
      </c>
      <c r="S60" s="4" t="s">
        <v>103</v>
      </c>
      <c r="U60" s="4">
        <v>80</v>
      </c>
      <c r="V60" s="4">
        <v>0</v>
      </c>
      <c r="W60" s="4">
        <v>0</v>
      </c>
    </row>
    <row r="61" spans="1:23" ht="11.25" customHeight="1" x14ac:dyDescent="0.3">
      <c r="A61" s="4" t="s">
        <v>21</v>
      </c>
      <c r="B61" s="4" t="s">
        <v>36</v>
      </c>
      <c r="C61" s="4" t="s">
        <v>37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44378</v>
      </c>
      <c r="J61" s="6">
        <v>125</v>
      </c>
      <c r="K61" s="6">
        <v>120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4" t="s">
        <v>26</v>
      </c>
      <c r="R61" s="4">
        <v>0</v>
      </c>
      <c r="S61" s="4" t="s">
        <v>104</v>
      </c>
      <c r="U61" s="4">
        <v>80</v>
      </c>
      <c r="V61" s="4">
        <v>0</v>
      </c>
      <c r="W61" s="4">
        <v>0</v>
      </c>
    </row>
    <row r="62" spans="1:23" ht="11.25" customHeight="1" x14ac:dyDescent="0.3">
      <c r="A62" s="4" t="s">
        <v>21</v>
      </c>
      <c r="B62" s="4" t="s">
        <v>36</v>
      </c>
      <c r="C62" s="4" t="s">
        <v>37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44409</v>
      </c>
      <c r="J62" s="6">
        <v>125</v>
      </c>
      <c r="K62" s="6">
        <v>120</v>
      </c>
      <c r="L62" s="6">
        <v>0</v>
      </c>
      <c r="M62" s="6">
        <v>0</v>
      </c>
      <c r="N62" s="6">
        <v>0</v>
      </c>
      <c r="O62" s="6">
        <v>0</v>
      </c>
      <c r="P62" s="6">
        <v>1</v>
      </c>
      <c r="Q62" s="4" t="s">
        <v>26</v>
      </c>
      <c r="R62" s="4">
        <v>0</v>
      </c>
      <c r="S62" s="4" t="s">
        <v>105</v>
      </c>
      <c r="U62" s="4">
        <v>80</v>
      </c>
      <c r="V62" s="4">
        <v>0</v>
      </c>
      <c r="W62" s="4">
        <v>0</v>
      </c>
    </row>
    <row r="63" spans="1:23" ht="11.25" customHeight="1" x14ac:dyDescent="0.3">
      <c r="A63" s="4" t="s">
        <v>21</v>
      </c>
      <c r="B63" s="4" t="s">
        <v>36</v>
      </c>
      <c r="C63" s="4" t="s">
        <v>37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44440</v>
      </c>
      <c r="J63" s="6">
        <v>125</v>
      </c>
      <c r="K63" s="6">
        <v>120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4" t="s">
        <v>26</v>
      </c>
      <c r="R63" s="4">
        <v>0</v>
      </c>
      <c r="S63" s="4" t="s">
        <v>106</v>
      </c>
      <c r="U63" s="4">
        <v>80</v>
      </c>
      <c r="V63" s="4">
        <v>0</v>
      </c>
      <c r="W63" s="4">
        <v>0</v>
      </c>
    </row>
    <row r="64" spans="1:23" ht="11.25" customHeight="1" x14ac:dyDescent="0.3">
      <c r="A64" s="4" t="s">
        <v>21</v>
      </c>
      <c r="B64" s="4" t="s">
        <v>36</v>
      </c>
      <c r="C64" s="4" t="s">
        <v>37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44470</v>
      </c>
      <c r="J64" s="6">
        <v>125</v>
      </c>
      <c r="K64" s="6">
        <v>120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4" t="s">
        <v>26</v>
      </c>
      <c r="R64" s="4">
        <v>0</v>
      </c>
      <c r="S64" s="4" t="s">
        <v>107</v>
      </c>
      <c r="U64" s="4">
        <v>80</v>
      </c>
      <c r="V64" s="4">
        <v>0</v>
      </c>
      <c r="W64" s="4">
        <v>0</v>
      </c>
    </row>
    <row r="65" spans="1:23" ht="11.25" customHeight="1" x14ac:dyDescent="0.3">
      <c r="A65" s="4" t="s">
        <v>21</v>
      </c>
      <c r="B65" s="4" t="s">
        <v>36</v>
      </c>
      <c r="C65" s="4" t="s">
        <v>37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25</v>
      </c>
      <c r="I65" s="5">
        <v>44501</v>
      </c>
      <c r="J65" s="6">
        <v>125</v>
      </c>
      <c r="K65" s="6">
        <v>120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4" t="s">
        <v>26</v>
      </c>
      <c r="R65" s="4">
        <v>0</v>
      </c>
      <c r="S65" s="4" t="s">
        <v>108</v>
      </c>
      <c r="U65" s="4">
        <v>80</v>
      </c>
      <c r="V65" s="4">
        <v>0</v>
      </c>
      <c r="W65" s="4">
        <v>0</v>
      </c>
    </row>
    <row r="66" spans="1:23" ht="11.25" customHeight="1" x14ac:dyDescent="0.3">
      <c r="A66" s="4" t="s">
        <v>21</v>
      </c>
      <c r="B66" s="4" t="s">
        <v>36</v>
      </c>
      <c r="C66" s="4" t="s">
        <v>37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44287</v>
      </c>
      <c r="J66" s="6">
        <v>0</v>
      </c>
      <c r="K66" s="6">
        <v>0</v>
      </c>
      <c r="L66" s="6">
        <v>0.378</v>
      </c>
      <c r="M66" s="6">
        <v>0.36287999999999998</v>
      </c>
      <c r="N66" s="6">
        <v>0.378</v>
      </c>
      <c r="O66" s="6">
        <v>0.36287999999999998</v>
      </c>
      <c r="P66" s="6">
        <v>0</v>
      </c>
      <c r="Q66" s="4" t="s">
        <v>26</v>
      </c>
      <c r="R66" s="4">
        <v>0</v>
      </c>
      <c r="S66" s="4" t="s">
        <v>113</v>
      </c>
      <c r="T66" s="4" t="s">
        <v>238</v>
      </c>
      <c r="U66" s="4">
        <v>0</v>
      </c>
      <c r="V66" s="4">
        <v>83</v>
      </c>
      <c r="W66" s="4">
        <v>53</v>
      </c>
    </row>
    <row r="67" spans="1:23" ht="11.25" customHeight="1" x14ac:dyDescent="0.3">
      <c r="A67" s="4" t="s">
        <v>21</v>
      </c>
      <c r="B67" s="4" t="s">
        <v>36</v>
      </c>
      <c r="C67" s="4" t="s">
        <v>37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38</v>
      </c>
      <c r="I67" s="5">
        <v>44317</v>
      </c>
      <c r="J67" s="6">
        <v>0</v>
      </c>
      <c r="K67" s="6">
        <v>0</v>
      </c>
      <c r="L67" s="6">
        <v>0.38900000000000001</v>
      </c>
      <c r="M67" s="6">
        <v>0.37343999999999999</v>
      </c>
      <c r="N67" s="6">
        <v>0.38900000000000001</v>
      </c>
      <c r="O67" s="6">
        <v>0.37343999999999999</v>
      </c>
      <c r="P67" s="6">
        <v>0</v>
      </c>
      <c r="Q67" s="4" t="s">
        <v>26</v>
      </c>
      <c r="R67" s="4">
        <v>0</v>
      </c>
      <c r="S67" s="4" t="s">
        <v>114</v>
      </c>
      <c r="T67" s="4" t="s">
        <v>239</v>
      </c>
      <c r="U67" s="4">
        <v>0</v>
      </c>
      <c r="V67" s="4">
        <v>83</v>
      </c>
      <c r="W67" s="4">
        <v>53</v>
      </c>
    </row>
    <row r="68" spans="1:23" ht="11.25" customHeight="1" x14ac:dyDescent="0.3">
      <c r="A68" s="4" t="s">
        <v>21</v>
      </c>
      <c r="B68" s="4" t="s">
        <v>36</v>
      </c>
      <c r="C68" s="4" t="s">
        <v>37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38</v>
      </c>
      <c r="I68" s="5">
        <v>44348</v>
      </c>
      <c r="J68" s="6">
        <v>0</v>
      </c>
      <c r="K68" s="6">
        <v>0</v>
      </c>
      <c r="L68" s="6">
        <v>0.39800000000000002</v>
      </c>
      <c r="M68" s="6">
        <v>0.38207999999999998</v>
      </c>
      <c r="N68" s="6">
        <v>0.39800000000000002</v>
      </c>
      <c r="O68" s="6">
        <v>0.38207999999999998</v>
      </c>
      <c r="P68" s="6">
        <v>0</v>
      </c>
      <c r="Q68" s="4" t="s">
        <v>26</v>
      </c>
      <c r="R68" s="4">
        <v>0</v>
      </c>
      <c r="S68" s="4" t="s">
        <v>115</v>
      </c>
      <c r="T68" s="4" t="s">
        <v>240</v>
      </c>
      <c r="U68" s="4">
        <v>0</v>
      </c>
      <c r="V68" s="4">
        <v>83</v>
      </c>
      <c r="W68" s="4">
        <v>53</v>
      </c>
    </row>
    <row r="69" spans="1:23" ht="11.25" customHeight="1" x14ac:dyDescent="0.3">
      <c r="A69" s="4" t="s">
        <v>21</v>
      </c>
      <c r="B69" s="4" t="s">
        <v>36</v>
      </c>
      <c r="C69" s="4" t="s">
        <v>37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38</v>
      </c>
      <c r="I69" s="5">
        <v>44378</v>
      </c>
      <c r="J69" s="6">
        <v>0</v>
      </c>
      <c r="K69" s="6">
        <v>0</v>
      </c>
      <c r="L69" s="6">
        <v>0.501</v>
      </c>
      <c r="M69" s="6">
        <v>0.48096</v>
      </c>
      <c r="N69" s="6">
        <v>0.501</v>
      </c>
      <c r="O69" s="6">
        <v>0.48096</v>
      </c>
      <c r="P69" s="6">
        <v>0</v>
      </c>
      <c r="Q69" s="4" t="s">
        <v>26</v>
      </c>
      <c r="R69" s="4">
        <v>0</v>
      </c>
      <c r="S69" s="4" t="s">
        <v>116</v>
      </c>
      <c r="T69" s="4" t="s">
        <v>241</v>
      </c>
      <c r="U69" s="4">
        <v>0</v>
      </c>
      <c r="V69" s="4">
        <v>83</v>
      </c>
      <c r="W69" s="4">
        <v>53</v>
      </c>
    </row>
    <row r="70" spans="1:23" ht="11.25" customHeight="1" x14ac:dyDescent="0.3">
      <c r="A70" s="4" t="s">
        <v>21</v>
      </c>
      <c r="B70" s="4" t="s">
        <v>36</v>
      </c>
      <c r="C70" s="4" t="s">
        <v>37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38</v>
      </c>
      <c r="I70" s="5">
        <v>44409</v>
      </c>
      <c r="J70" s="6">
        <v>0</v>
      </c>
      <c r="K70" s="6">
        <v>0</v>
      </c>
      <c r="L70" s="6">
        <v>0.30099999999999999</v>
      </c>
      <c r="M70" s="6">
        <v>0.28895999999999999</v>
      </c>
      <c r="N70" s="6">
        <v>0.30099999999999999</v>
      </c>
      <c r="O70" s="6">
        <v>0.28895999999999999</v>
      </c>
      <c r="P70" s="6">
        <v>0</v>
      </c>
      <c r="Q70" s="4" t="s">
        <v>26</v>
      </c>
      <c r="R70" s="4">
        <v>0</v>
      </c>
      <c r="S70" s="4" t="s">
        <v>117</v>
      </c>
      <c r="T70" s="4" t="s">
        <v>242</v>
      </c>
      <c r="U70" s="4">
        <v>0</v>
      </c>
      <c r="V70" s="4">
        <v>83</v>
      </c>
      <c r="W70" s="4">
        <v>53</v>
      </c>
    </row>
    <row r="71" spans="1:23" ht="11.25" customHeight="1" x14ac:dyDescent="0.3">
      <c r="A71" s="4" t="s">
        <v>21</v>
      </c>
      <c r="B71" s="4" t="s">
        <v>36</v>
      </c>
      <c r="C71" s="4" t="s">
        <v>37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38</v>
      </c>
      <c r="I71" s="5">
        <v>44440</v>
      </c>
      <c r="J71" s="6">
        <v>0</v>
      </c>
      <c r="K71" s="6">
        <v>0</v>
      </c>
      <c r="L71" s="6">
        <v>0.27100000000000002</v>
      </c>
      <c r="M71" s="6">
        <v>0.26016</v>
      </c>
      <c r="N71" s="6">
        <v>0.27100000000000002</v>
      </c>
      <c r="O71" s="6">
        <v>0.26016</v>
      </c>
      <c r="P71" s="6">
        <v>0</v>
      </c>
      <c r="Q71" s="4" t="s">
        <v>26</v>
      </c>
      <c r="R71" s="4">
        <v>0</v>
      </c>
      <c r="S71" s="4" t="s">
        <v>118</v>
      </c>
      <c r="T71" s="4" t="s">
        <v>243</v>
      </c>
      <c r="U71" s="4">
        <v>0</v>
      </c>
      <c r="V71" s="4">
        <v>83</v>
      </c>
      <c r="W71" s="4">
        <v>53</v>
      </c>
    </row>
    <row r="72" spans="1:23" ht="11.25" customHeight="1" x14ac:dyDescent="0.3">
      <c r="A72" s="4" t="s">
        <v>21</v>
      </c>
      <c r="B72" s="4" t="s">
        <v>36</v>
      </c>
      <c r="C72" s="4" t="s">
        <v>37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44470</v>
      </c>
      <c r="J72" s="6">
        <v>0</v>
      </c>
      <c r="K72" s="6">
        <v>0</v>
      </c>
      <c r="L72" s="6">
        <v>0.32100000000000001</v>
      </c>
      <c r="M72" s="6">
        <v>0.30815999999999999</v>
      </c>
      <c r="N72" s="6">
        <v>0.32100000000000001</v>
      </c>
      <c r="O72" s="6">
        <v>0.30815999999999999</v>
      </c>
      <c r="P72" s="6">
        <v>0</v>
      </c>
      <c r="Q72" s="4" t="s">
        <v>26</v>
      </c>
      <c r="R72" s="4">
        <v>0</v>
      </c>
      <c r="S72" s="4" t="s">
        <v>119</v>
      </c>
      <c r="T72" s="4" t="s">
        <v>244</v>
      </c>
      <c r="U72" s="4">
        <v>0</v>
      </c>
      <c r="V72" s="4">
        <v>83</v>
      </c>
      <c r="W72" s="4">
        <v>53</v>
      </c>
    </row>
    <row r="73" spans="1:23" ht="11.25" customHeight="1" x14ac:dyDescent="0.3">
      <c r="A73" s="4" t="s">
        <v>21</v>
      </c>
      <c r="B73" s="4" t="s">
        <v>36</v>
      </c>
      <c r="C73" s="4" t="s">
        <v>37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44501</v>
      </c>
      <c r="J73" s="6">
        <v>0</v>
      </c>
      <c r="K73" s="6">
        <v>0</v>
      </c>
      <c r="L73" s="6">
        <v>0.34</v>
      </c>
      <c r="M73" s="6">
        <v>0.32640000000000002</v>
      </c>
      <c r="N73" s="6">
        <v>0.34</v>
      </c>
      <c r="O73" s="6">
        <v>0.32640000000000002</v>
      </c>
      <c r="P73" s="6">
        <v>0</v>
      </c>
      <c r="Q73" s="4" t="s">
        <v>26</v>
      </c>
      <c r="R73" s="4">
        <v>0</v>
      </c>
      <c r="S73" s="4" t="s">
        <v>120</v>
      </c>
      <c r="T73" s="4" t="s">
        <v>245</v>
      </c>
      <c r="U73" s="4">
        <v>0</v>
      </c>
      <c r="V73" s="4">
        <v>83</v>
      </c>
      <c r="W73" s="4">
        <v>53</v>
      </c>
    </row>
    <row r="74" spans="1:23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44287</v>
      </c>
      <c r="J74" s="6">
        <v>0</v>
      </c>
      <c r="K74" s="6">
        <v>0</v>
      </c>
      <c r="L74" s="6">
        <v>726.19200000000001</v>
      </c>
      <c r="M74" s="6">
        <v>726.19200000000001</v>
      </c>
      <c r="N74" s="6">
        <v>726.19200000000001</v>
      </c>
      <c r="O74" s="6">
        <v>726.19200000000001</v>
      </c>
      <c r="P74" s="6">
        <v>4406</v>
      </c>
      <c r="Q74" s="4" t="s">
        <v>26</v>
      </c>
      <c r="R74" s="4">
        <v>0</v>
      </c>
      <c r="S74" s="4" t="s">
        <v>125</v>
      </c>
      <c r="T74" s="4" t="s">
        <v>250</v>
      </c>
      <c r="U74" s="4">
        <v>0</v>
      </c>
      <c r="V74" s="4">
        <v>48</v>
      </c>
      <c r="W74" s="4">
        <v>31</v>
      </c>
    </row>
    <row r="75" spans="1:23" ht="11.25" customHeight="1" x14ac:dyDescent="0.3">
      <c r="A75" s="4" t="s">
        <v>27</v>
      </c>
      <c r="B75" s="4" t="s">
        <v>22</v>
      </c>
      <c r="C75" s="4" t="s">
        <v>23</v>
      </c>
      <c r="D75" s="4" t="s">
        <v>24</v>
      </c>
      <c r="E75" s="4" t="s">
        <v>24</v>
      </c>
      <c r="F75" s="4" t="s">
        <v>25</v>
      </c>
      <c r="G75" s="4" t="s">
        <v>25</v>
      </c>
      <c r="H75" s="4" t="s">
        <v>25</v>
      </c>
      <c r="I75" s="5">
        <v>44287</v>
      </c>
      <c r="J75" s="6">
        <v>0</v>
      </c>
      <c r="K75" s="6">
        <v>0</v>
      </c>
      <c r="L75" s="6">
        <v>-0.44700000000000001</v>
      </c>
      <c r="M75" s="6">
        <v>-0.44700000000000001</v>
      </c>
      <c r="N75" s="6">
        <v>-0.44700000000000001</v>
      </c>
      <c r="O75" s="6">
        <v>-0.44700000000000001</v>
      </c>
      <c r="P75" s="6">
        <v>0</v>
      </c>
      <c r="Q75" s="4" t="s">
        <v>26</v>
      </c>
      <c r="R75" s="4">
        <v>0</v>
      </c>
      <c r="S75" s="4" t="s">
        <v>125</v>
      </c>
      <c r="T75" s="4" t="s">
        <v>250</v>
      </c>
      <c r="U75" s="4">
        <v>0</v>
      </c>
      <c r="V75" s="4">
        <v>48</v>
      </c>
      <c r="W75" s="4">
        <v>31</v>
      </c>
    </row>
    <row r="76" spans="1:23" ht="11.25" customHeight="1" x14ac:dyDescent="0.3">
      <c r="A76" s="4" t="s">
        <v>28</v>
      </c>
      <c r="B76" s="4" t="s">
        <v>22</v>
      </c>
      <c r="C76" s="4" t="s">
        <v>23</v>
      </c>
      <c r="D76" s="4" t="s">
        <v>24</v>
      </c>
      <c r="E76" s="4" t="s">
        <v>24</v>
      </c>
      <c r="F76" s="4" t="s">
        <v>25</v>
      </c>
      <c r="G76" s="4" t="s">
        <v>25</v>
      </c>
      <c r="H76" s="4" t="s">
        <v>25</v>
      </c>
      <c r="I76" s="5">
        <v>44287</v>
      </c>
      <c r="J76" s="6">
        <v>0</v>
      </c>
      <c r="K76" s="6">
        <v>0</v>
      </c>
      <c r="L76" s="6">
        <v>2.964</v>
      </c>
      <c r="M76" s="6">
        <v>2.964</v>
      </c>
      <c r="N76" s="6">
        <v>2.964</v>
      </c>
      <c r="O76" s="6">
        <v>2.964</v>
      </c>
      <c r="P76" s="6">
        <v>13</v>
      </c>
      <c r="Q76" s="4" t="s">
        <v>26</v>
      </c>
      <c r="R76" s="4">
        <v>0</v>
      </c>
      <c r="S76" s="4" t="s">
        <v>125</v>
      </c>
      <c r="T76" s="4" t="s">
        <v>250</v>
      </c>
      <c r="U76" s="4">
        <v>0</v>
      </c>
      <c r="V76" s="4">
        <v>48</v>
      </c>
      <c r="W76" s="4">
        <v>31</v>
      </c>
    </row>
    <row r="77" spans="1:23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24</v>
      </c>
      <c r="F77" s="4" t="s">
        <v>25</v>
      </c>
      <c r="G77" s="4" t="s">
        <v>25</v>
      </c>
      <c r="H77" s="4" t="s">
        <v>25</v>
      </c>
      <c r="I77" s="5">
        <v>44317</v>
      </c>
      <c r="J77" s="6">
        <v>0</v>
      </c>
      <c r="K77" s="6">
        <v>0</v>
      </c>
      <c r="L77" s="6">
        <v>682.52300000000002</v>
      </c>
      <c r="M77" s="6">
        <v>682.52300000000002</v>
      </c>
      <c r="N77" s="6">
        <v>682.52300000000002</v>
      </c>
      <c r="O77" s="6">
        <v>682.52300000000002</v>
      </c>
      <c r="P77" s="6">
        <v>4398</v>
      </c>
      <c r="Q77" s="4" t="s">
        <v>26</v>
      </c>
      <c r="R77" s="4">
        <v>0</v>
      </c>
      <c r="S77" s="4" t="s">
        <v>126</v>
      </c>
      <c r="T77" s="4" t="s">
        <v>251</v>
      </c>
      <c r="U77" s="4">
        <v>0</v>
      </c>
      <c r="V77" s="4">
        <v>48</v>
      </c>
      <c r="W77" s="4">
        <v>31</v>
      </c>
    </row>
    <row r="78" spans="1:23" ht="11.25" customHeight="1" x14ac:dyDescent="0.3">
      <c r="A78" s="4" t="s">
        <v>27</v>
      </c>
      <c r="B78" s="4" t="s">
        <v>22</v>
      </c>
      <c r="C78" s="4" t="s">
        <v>23</v>
      </c>
      <c r="D78" s="4" t="s">
        <v>24</v>
      </c>
      <c r="E78" s="4" t="s">
        <v>24</v>
      </c>
      <c r="F78" s="4" t="s">
        <v>25</v>
      </c>
      <c r="G78" s="4" t="s">
        <v>25</v>
      </c>
      <c r="H78" s="4" t="s">
        <v>25</v>
      </c>
      <c r="I78" s="5">
        <v>44317</v>
      </c>
      <c r="J78" s="6">
        <v>0</v>
      </c>
      <c r="K78" s="6">
        <v>0</v>
      </c>
      <c r="L78" s="6">
        <v>-0.53200000000000003</v>
      </c>
      <c r="M78" s="6">
        <v>-0.53200000000000003</v>
      </c>
      <c r="N78" s="6">
        <v>-0.53200000000000003</v>
      </c>
      <c r="O78" s="6">
        <v>-0.53200000000000003</v>
      </c>
      <c r="P78" s="6">
        <v>0</v>
      </c>
      <c r="Q78" s="4" t="s">
        <v>26</v>
      </c>
      <c r="R78" s="4">
        <v>0</v>
      </c>
      <c r="S78" s="4" t="s">
        <v>126</v>
      </c>
      <c r="T78" s="4" t="s">
        <v>251</v>
      </c>
      <c r="U78" s="4">
        <v>0</v>
      </c>
      <c r="V78" s="4">
        <v>48</v>
      </c>
      <c r="W78" s="4">
        <v>31</v>
      </c>
    </row>
    <row r="79" spans="1:23" ht="11.25" customHeight="1" x14ac:dyDescent="0.3">
      <c r="A79" s="4" t="s">
        <v>28</v>
      </c>
      <c r="B79" s="4" t="s">
        <v>22</v>
      </c>
      <c r="C79" s="4" t="s">
        <v>23</v>
      </c>
      <c r="D79" s="4" t="s">
        <v>24</v>
      </c>
      <c r="E79" s="4" t="s">
        <v>24</v>
      </c>
      <c r="F79" s="4" t="s">
        <v>25</v>
      </c>
      <c r="G79" s="4" t="s">
        <v>25</v>
      </c>
      <c r="H79" s="4" t="s">
        <v>25</v>
      </c>
      <c r="I79" s="5">
        <v>44317</v>
      </c>
      <c r="J79" s="6">
        <v>0</v>
      </c>
      <c r="K79" s="6">
        <v>0</v>
      </c>
      <c r="L79" s="6">
        <v>2.2170000000000001</v>
      </c>
      <c r="M79" s="6">
        <v>2.2170000000000001</v>
      </c>
      <c r="N79" s="6">
        <v>2.2170000000000001</v>
      </c>
      <c r="O79" s="6">
        <v>2.2170000000000001</v>
      </c>
      <c r="P79" s="6">
        <v>14</v>
      </c>
      <c r="Q79" s="4" t="s">
        <v>26</v>
      </c>
      <c r="R79" s="4">
        <v>0</v>
      </c>
      <c r="S79" s="4" t="s">
        <v>126</v>
      </c>
      <c r="T79" s="4" t="s">
        <v>251</v>
      </c>
      <c r="U79" s="4">
        <v>0</v>
      </c>
      <c r="V79" s="4">
        <v>48</v>
      </c>
      <c r="W79" s="4">
        <v>31</v>
      </c>
    </row>
    <row r="80" spans="1:23" ht="11.25" customHeight="1" x14ac:dyDescent="0.3">
      <c r="A80" s="4" t="s">
        <v>28</v>
      </c>
      <c r="B80" s="4" t="s">
        <v>22</v>
      </c>
      <c r="C80" s="4" t="s">
        <v>23</v>
      </c>
      <c r="D80" s="4" t="s">
        <v>24</v>
      </c>
      <c r="E80" s="4" t="s">
        <v>24</v>
      </c>
      <c r="F80" s="4" t="s">
        <v>25</v>
      </c>
      <c r="G80" s="4" t="s">
        <v>25</v>
      </c>
      <c r="H80" s="4" t="s">
        <v>25</v>
      </c>
      <c r="I80" s="5">
        <v>44317</v>
      </c>
      <c r="J80" s="6">
        <v>0</v>
      </c>
      <c r="K80" s="6">
        <v>0</v>
      </c>
      <c r="L80" s="6">
        <v>-2.5999999999999999E-2</v>
      </c>
      <c r="M80" s="6">
        <v>-2.5999999999999999E-2</v>
      </c>
      <c r="N80" s="6">
        <v>-2.5999999999999999E-2</v>
      </c>
      <c r="O80" s="6">
        <v>-2.5999999999999999E-2</v>
      </c>
      <c r="P80" s="6">
        <v>1</v>
      </c>
      <c r="Q80" s="4" t="s">
        <v>26</v>
      </c>
      <c r="R80" s="4">
        <v>0</v>
      </c>
      <c r="S80" s="4" t="s">
        <v>126</v>
      </c>
      <c r="T80" s="4" t="s">
        <v>251</v>
      </c>
      <c r="U80" s="4">
        <v>0</v>
      </c>
      <c r="V80" s="4">
        <v>48</v>
      </c>
      <c r="W80" s="4">
        <v>31</v>
      </c>
    </row>
    <row r="81" spans="1:23" ht="11.25" customHeight="1" x14ac:dyDescent="0.3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24</v>
      </c>
      <c r="F81" s="4" t="s">
        <v>25</v>
      </c>
      <c r="G81" s="4" t="s">
        <v>25</v>
      </c>
      <c r="H81" s="4" t="s">
        <v>25</v>
      </c>
      <c r="I81" s="5">
        <v>44348</v>
      </c>
      <c r="J81" s="6">
        <v>0</v>
      </c>
      <c r="K81" s="6">
        <v>0</v>
      </c>
      <c r="L81" s="6">
        <v>687.22199999999998</v>
      </c>
      <c r="M81" s="6">
        <v>687.22199999999998</v>
      </c>
      <c r="N81" s="6">
        <v>687.22199999999998</v>
      </c>
      <c r="O81" s="6">
        <v>687.22199999999998</v>
      </c>
      <c r="P81" s="6">
        <v>4420</v>
      </c>
      <c r="Q81" s="4" t="s">
        <v>26</v>
      </c>
      <c r="R81" s="4">
        <v>0</v>
      </c>
      <c r="S81" s="4" t="s">
        <v>127</v>
      </c>
      <c r="T81" s="4" t="s">
        <v>252</v>
      </c>
      <c r="U81" s="4">
        <v>0</v>
      </c>
      <c r="V81" s="4">
        <v>48</v>
      </c>
      <c r="W81" s="4">
        <v>31</v>
      </c>
    </row>
    <row r="82" spans="1:23" ht="11.25" customHeight="1" x14ac:dyDescent="0.3">
      <c r="A82" s="4" t="s">
        <v>27</v>
      </c>
      <c r="B82" s="4" t="s">
        <v>22</v>
      </c>
      <c r="C82" s="4" t="s">
        <v>23</v>
      </c>
      <c r="D82" s="4" t="s">
        <v>24</v>
      </c>
      <c r="E82" s="4" t="s">
        <v>24</v>
      </c>
      <c r="F82" s="4" t="s">
        <v>25</v>
      </c>
      <c r="G82" s="4" t="s">
        <v>25</v>
      </c>
      <c r="H82" s="4" t="s">
        <v>25</v>
      </c>
      <c r="I82" s="5">
        <v>44348</v>
      </c>
      <c r="J82" s="6">
        <v>0</v>
      </c>
      <c r="K82" s="6">
        <v>0</v>
      </c>
      <c r="L82" s="6">
        <v>-0.436</v>
      </c>
      <c r="M82" s="6">
        <v>-0.436</v>
      </c>
      <c r="N82" s="6">
        <v>-0.436</v>
      </c>
      <c r="O82" s="6">
        <v>-0.436</v>
      </c>
      <c r="P82" s="6">
        <v>0</v>
      </c>
      <c r="Q82" s="4" t="s">
        <v>26</v>
      </c>
      <c r="R82" s="4">
        <v>0</v>
      </c>
      <c r="S82" s="4" t="s">
        <v>127</v>
      </c>
      <c r="T82" s="4" t="s">
        <v>252</v>
      </c>
      <c r="U82" s="4">
        <v>0</v>
      </c>
      <c r="V82" s="4">
        <v>48</v>
      </c>
      <c r="W82" s="4">
        <v>31</v>
      </c>
    </row>
    <row r="83" spans="1:23" ht="11.25" customHeight="1" x14ac:dyDescent="0.3">
      <c r="A83" s="4" t="s">
        <v>28</v>
      </c>
      <c r="B83" s="4" t="s">
        <v>22</v>
      </c>
      <c r="C83" s="4" t="s">
        <v>23</v>
      </c>
      <c r="D83" s="4" t="s">
        <v>24</v>
      </c>
      <c r="E83" s="4" t="s">
        <v>24</v>
      </c>
      <c r="F83" s="4" t="s">
        <v>25</v>
      </c>
      <c r="G83" s="4" t="s">
        <v>25</v>
      </c>
      <c r="H83" s="4" t="s">
        <v>25</v>
      </c>
      <c r="I83" s="5">
        <v>44348</v>
      </c>
      <c r="J83" s="6">
        <v>0</v>
      </c>
      <c r="K83" s="6">
        <v>0</v>
      </c>
      <c r="L83" s="6">
        <v>2.7320000000000002</v>
      </c>
      <c r="M83" s="6">
        <v>2.7320000000000002</v>
      </c>
      <c r="N83" s="6">
        <v>2.7320000000000002</v>
      </c>
      <c r="O83" s="6">
        <v>2.7320000000000002</v>
      </c>
      <c r="P83" s="6">
        <v>14</v>
      </c>
      <c r="Q83" s="4" t="s">
        <v>26</v>
      </c>
      <c r="R83" s="4">
        <v>0</v>
      </c>
      <c r="S83" s="4" t="s">
        <v>127</v>
      </c>
      <c r="T83" s="4" t="s">
        <v>252</v>
      </c>
      <c r="U83" s="4">
        <v>0</v>
      </c>
      <c r="V83" s="4">
        <v>48</v>
      </c>
      <c r="W83" s="4">
        <v>31</v>
      </c>
    </row>
    <row r="84" spans="1:23" ht="11.25" customHeight="1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24</v>
      </c>
      <c r="F84" s="4" t="s">
        <v>25</v>
      </c>
      <c r="G84" s="4" t="s">
        <v>25</v>
      </c>
      <c r="H84" s="4" t="s">
        <v>25</v>
      </c>
      <c r="I84" s="5">
        <v>44378</v>
      </c>
      <c r="J84" s="6">
        <v>0</v>
      </c>
      <c r="K84" s="6">
        <v>0</v>
      </c>
      <c r="L84" s="6">
        <v>651.87</v>
      </c>
      <c r="M84" s="6">
        <v>651.87</v>
      </c>
      <c r="N84" s="6">
        <v>651.87</v>
      </c>
      <c r="O84" s="6">
        <v>651.87</v>
      </c>
      <c r="P84" s="6">
        <v>4435</v>
      </c>
      <c r="Q84" s="4" t="s">
        <v>26</v>
      </c>
      <c r="R84" s="4">
        <v>0</v>
      </c>
      <c r="S84" s="4" t="s">
        <v>128</v>
      </c>
      <c r="T84" s="4" t="s">
        <v>253</v>
      </c>
      <c r="U84" s="4">
        <v>0</v>
      </c>
      <c r="V84" s="4">
        <v>48</v>
      </c>
      <c r="W84" s="4">
        <v>31</v>
      </c>
    </row>
    <row r="85" spans="1:23" ht="11.25" customHeight="1" x14ac:dyDescent="0.3">
      <c r="A85" s="4" t="s">
        <v>27</v>
      </c>
      <c r="B85" s="4" t="s">
        <v>22</v>
      </c>
      <c r="C85" s="4" t="s">
        <v>23</v>
      </c>
      <c r="D85" s="4" t="s">
        <v>24</v>
      </c>
      <c r="E85" s="4" t="s">
        <v>24</v>
      </c>
      <c r="F85" s="4" t="s">
        <v>25</v>
      </c>
      <c r="G85" s="4" t="s">
        <v>25</v>
      </c>
      <c r="H85" s="4" t="s">
        <v>25</v>
      </c>
      <c r="I85" s="5">
        <v>44378</v>
      </c>
      <c r="J85" s="6">
        <v>0</v>
      </c>
      <c r="K85" s="6">
        <v>0</v>
      </c>
      <c r="L85" s="6">
        <v>-0.48</v>
      </c>
      <c r="M85" s="6">
        <v>-0.48</v>
      </c>
      <c r="N85" s="6">
        <v>-0.48</v>
      </c>
      <c r="O85" s="6">
        <v>-0.48</v>
      </c>
      <c r="P85" s="6">
        <v>0</v>
      </c>
      <c r="Q85" s="4" t="s">
        <v>26</v>
      </c>
      <c r="R85" s="4">
        <v>0</v>
      </c>
      <c r="S85" s="4" t="s">
        <v>128</v>
      </c>
      <c r="T85" s="4" t="s">
        <v>253</v>
      </c>
      <c r="U85" s="4">
        <v>0</v>
      </c>
      <c r="V85" s="4">
        <v>48</v>
      </c>
      <c r="W85" s="4">
        <v>31</v>
      </c>
    </row>
    <row r="86" spans="1:23" ht="11.25" customHeight="1" x14ac:dyDescent="0.3">
      <c r="A86" s="4" t="s">
        <v>28</v>
      </c>
      <c r="B86" s="4" t="s">
        <v>22</v>
      </c>
      <c r="C86" s="4" t="s">
        <v>23</v>
      </c>
      <c r="D86" s="4" t="s">
        <v>24</v>
      </c>
      <c r="E86" s="4" t="s">
        <v>24</v>
      </c>
      <c r="F86" s="4" t="s">
        <v>25</v>
      </c>
      <c r="G86" s="4" t="s">
        <v>25</v>
      </c>
      <c r="H86" s="4" t="s">
        <v>25</v>
      </c>
      <c r="I86" s="5">
        <v>44378</v>
      </c>
      <c r="J86" s="6">
        <v>0</v>
      </c>
      <c r="K86" s="6">
        <v>0</v>
      </c>
      <c r="L86" s="6">
        <v>2.2919999999999998</v>
      </c>
      <c r="M86" s="6">
        <v>2.2919999999999998</v>
      </c>
      <c r="N86" s="6">
        <v>2.2919999999999998</v>
      </c>
      <c r="O86" s="6">
        <v>2.2919999999999998</v>
      </c>
      <c r="P86" s="6">
        <v>14</v>
      </c>
      <c r="Q86" s="4" t="s">
        <v>26</v>
      </c>
      <c r="R86" s="4">
        <v>0</v>
      </c>
      <c r="S86" s="4" t="s">
        <v>128</v>
      </c>
      <c r="T86" s="4" t="s">
        <v>253</v>
      </c>
      <c r="U86" s="4">
        <v>0</v>
      </c>
      <c r="V86" s="4">
        <v>48</v>
      </c>
      <c r="W86" s="4">
        <v>31</v>
      </c>
    </row>
    <row r="87" spans="1:23" ht="11.25" customHeight="1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24</v>
      </c>
      <c r="F87" s="4" t="s">
        <v>25</v>
      </c>
      <c r="G87" s="4" t="s">
        <v>25</v>
      </c>
      <c r="H87" s="4" t="s">
        <v>25</v>
      </c>
      <c r="I87" s="5">
        <v>44409</v>
      </c>
      <c r="J87" s="6">
        <v>0</v>
      </c>
      <c r="K87" s="6">
        <v>0</v>
      </c>
      <c r="L87" s="6">
        <v>698.40700000000004</v>
      </c>
      <c r="M87" s="6">
        <v>698.40700000000004</v>
      </c>
      <c r="N87" s="6">
        <v>698.40700000000004</v>
      </c>
      <c r="O87" s="6">
        <v>698.40700000000004</v>
      </c>
      <c r="P87" s="6">
        <v>4453</v>
      </c>
      <c r="Q87" s="4" t="s">
        <v>26</v>
      </c>
      <c r="R87" s="4">
        <v>0</v>
      </c>
      <c r="S87" s="4" t="s">
        <v>129</v>
      </c>
      <c r="T87" s="4" t="s">
        <v>254</v>
      </c>
      <c r="U87" s="4">
        <v>0</v>
      </c>
      <c r="V87" s="4">
        <v>48</v>
      </c>
      <c r="W87" s="4">
        <v>31</v>
      </c>
    </row>
    <row r="88" spans="1:23" ht="11.25" customHeight="1" x14ac:dyDescent="0.3">
      <c r="A88" s="4" t="s">
        <v>27</v>
      </c>
      <c r="B88" s="4" t="s">
        <v>22</v>
      </c>
      <c r="C88" s="4" t="s">
        <v>23</v>
      </c>
      <c r="D88" s="4" t="s">
        <v>24</v>
      </c>
      <c r="E88" s="4" t="s">
        <v>24</v>
      </c>
      <c r="F88" s="4" t="s">
        <v>25</v>
      </c>
      <c r="G88" s="4" t="s">
        <v>25</v>
      </c>
      <c r="H88" s="4" t="s">
        <v>25</v>
      </c>
      <c r="I88" s="5">
        <v>44409</v>
      </c>
      <c r="J88" s="6">
        <v>0</v>
      </c>
      <c r="K88" s="6">
        <v>0</v>
      </c>
      <c r="L88" s="6">
        <v>-0.57799999999999996</v>
      </c>
      <c r="M88" s="6">
        <v>-0.57799999999999996</v>
      </c>
      <c r="N88" s="6">
        <v>-0.57799999999999996</v>
      </c>
      <c r="O88" s="6">
        <v>-0.57799999999999996</v>
      </c>
      <c r="P88" s="6">
        <v>0</v>
      </c>
      <c r="Q88" s="4" t="s">
        <v>26</v>
      </c>
      <c r="R88" s="4">
        <v>0</v>
      </c>
      <c r="S88" s="4" t="s">
        <v>129</v>
      </c>
      <c r="T88" s="4" t="s">
        <v>254</v>
      </c>
      <c r="U88" s="4">
        <v>0</v>
      </c>
      <c r="V88" s="4">
        <v>48</v>
      </c>
      <c r="W88" s="4">
        <v>31</v>
      </c>
    </row>
    <row r="89" spans="1:23" ht="11.25" customHeight="1" x14ac:dyDescent="0.3">
      <c r="A89" s="4" t="s">
        <v>28</v>
      </c>
      <c r="B89" s="4" t="s">
        <v>22</v>
      </c>
      <c r="C89" s="4" t="s">
        <v>23</v>
      </c>
      <c r="D89" s="4" t="s">
        <v>24</v>
      </c>
      <c r="E89" s="4" t="s">
        <v>24</v>
      </c>
      <c r="F89" s="4" t="s">
        <v>25</v>
      </c>
      <c r="G89" s="4" t="s">
        <v>25</v>
      </c>
      <c r="H89" s="4" t="s">
        <v>25</v>
      </c>
      <c r="I89" s="5">
        <v>44409</v>
      </c>
      <c r="J89" s="6">
        <v>0</v>
      </c>
      <c r="K89" s="6">
        <v>0</v>
      </c>
      <c r="L89" s="6">
        <v>2.4849999999999999</v>
      </c>
      <c r="M89" s="6">
        <v>2.4849999999999999</v>
      </c>
      <c r="N89" s="6">
        <v>2.4849999999999999</v>
      </c>
      <c r="O89" s="6">
        <v>2.4849999999999999</v>
      </c>
      <c r="P89" s="6">
        <v>14</v>
      </c>
      <c r="Q89" s="4" t="s">
        <v>26</v>
      </c>
      <c r="R89" s="4">
        <v>0</v>
      </c>
      <c r="S89" s="4" t="s">
        <v>129</v>
      </c>
      <c r="T89" s="4" t="s">
        <v>254</v>
      </c>
      <c r="U89" s="4">
        <v>0</v>
      </c>
      <c r="V89" s="4">
        <v>48</v>
      </c>
      <c r="W89" s="4">
        <v>31</v>
      </c>
    </row>
    <row r="90" spans="1:23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24</v>
      </c>
      <c r="F90" s="4" t="s">
        <v>25</v>
      </c>
      <c r="G90" s="4" t="s">
        <v>25</v>
      </c>
      <c r="H90" s="4" t="s">
        <v>25</v>
      </c>
      <c r="I90" s="5">
        <v>44440</v>
      </c>
      <c r="J90" s="6">
        <v>0</v>
      </c>
      <c r="K90" s="6">
        <v>0</v>
      </c>
      <c r="L90" s="6">
        <v>712.08500000000004</v>
      </c>
      <c r="M90" s="6">
        <v>712.08500000000004</v>
      </c>
      <c r="N90" s="6">
        <v>712.08500000000004</v>
      </c>
      <c r="O90" s="6">
        <v>712.08500000000004</v>
      </c>
      <c r="P90" s="6">
        <v>4496</v>
      </c>
      <c r="Q90" s="4" t="s">
        <v>26</v>
      </c>
      <c r="R90" s="4">
        <v>0</v>
      </c>
      <c r="S90" s="4" t="s">
        <v>130</v>
      </c>
      <c r="T90" s="4" t="s">
        <v>255</v>
      </c>
      <c r="U90" s="4">
        <v>0</v>
      </c>
      <c r="V90" s="4">
        <v>48</v>
      </c>
      <c r="W90" s="4">
        <v>31</v>
      </c>
    </row>
    <row r="91" spans="1:23" ht="11.25" customHeight="1" x14ac:dyDescent="0.3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24</v>
      </c>
      <c r="F91" s="4" t="s">
        <v>25</v>
      </c>
      <c r="G91" s="4" t="s">
        <v>25</v>
      </c>
      <c r="H91" s="4" t="s">
        <v>25</v>
      </c>
      <c r="I91" s="5">
        <v>44440</v>
      </c>
      <c r="J91" s="6">
        <v>0</v>
      </c>
      <c r="K91" s="6">
        <v>0</v>
      </c>
      <c r="L91" s="6">
        <v>-0.14000000000000001</v>
      </c>
      <c r="M91" s="6">
        <v>-0.14000000000000001</v>
      </c>
      <c r="N91" s="6">
        <v>-0.14000000000000001</v>
      </c>
      <c r="O91" s="6">
        <v>-0.14000000000000001</v>
      </c>
      <c r="P91" s="6">
        <v>0</v>
      </c>
      <c r="Q91" s="4" t="s">
        <v>26</v>
      </c>
      <c r="R91" s="4">
        <v>0</v>
      </c>
      <c r="S91" s="4" t="s">
        <v>130</v>
      </c>
      <c r="T91" s="4" t="s">
        <v>255</v>
      </c>
      <c r="U91" s="4">
        <v>0</v>
      </c>
      <c r="V91" s="4">
        <v>48</v>
      </c>
      <c r="W91" s="4">
        <v>31</v>
      </c>
    </row>
    <row r="92" spans="1:23" ht="11.25" customHeight="1" x14ac:dyDescent="0.3">
      <c r="A92" s="4" t="s">
        <v>28</v>
      </c>
      <c r="B92" s="4" t="s">
        <v>22</v>
      </c>
      <c r="C92" s="4" t="s">
        <v>23</v>
      </c>
      <c r="D92" s="4" t="s">
        <v>24</v>
      </c>
      <c r="E92" s="4" t="s">
        <v>24</v>
      </c>
      <c r="F92" s="4" t="s">
        <v>25</v>
      </c>
      <c r="G92" s="4" t="s">
        <v>25</v>
      </c>
      <c r="H92" s="4" t="s">
        <v>25</v>
      </c>
      <c r="I92" s="5">
        <v>44440</v>
      </c>
      <c r="J92" s="6">
        <v>0</v>
      </c>
      <c r="K92" s="6">
        <v>0</v>
      </c>
      <c r="L92" s="6">
        <v>3.589</v>
      </c>
      <c r="M92" s="6">
        <v>3.589</v>
      </c>
      <c r="N92" s="6">
        <v>3.589</v>
      </c>
      <c r="O92" s="6">
        <v>3.589</v>
      </c>
      <c r="P92" s="6">
        <v>16</v>
      </c>
      <c r="Q92" s="4" t="s">
        <v>26</v>
      </c>
      <c r="R92" s="4">
        <v>0</v>
      </c>
      <c r="S92" s="4" t="s">
        <v>130</v>
      </c>
      <c r="T92" s="4" t="s">
        <v>255</v>
      </c>
      <c r="U92" s="4">
        <v>0</v>
      </c>
      <c r="V92" s="4">
        <v>48</v>
      </c>
      <c r="W92" s="4">
        <v>31</v>
      </c>
    </row>
    <row r="93" spans="1:23" ht="11.25" customHeight="1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24</v>
      </c>
      <c r="F93" s="4" t="s">
        <v>25</v>
      </c>
      <c r="G93" s="4" t="s">
        <v>25</v>
      </c>
      <c r="H93" s="4" t="s">
        <v>25</v>
      </c>
      <c r="I93" s="5">
        <v>44470</v>
      </c>
      <c r="J93" s="6">
        <v>0</v>
      </c>
      <c r="K93" s="6">
        <v>0</v>
      </c>
      <c r="L93" s="6">
        <v>708.62400000000002</v>
      </c>
      <c r="M93" s="6">
        <v>708.62400000000002</v>
      </c>
      <c r="N93" s="6">
        <v>708.62400000000002</v>
      </c>
      <c r="O93" s="6">
        <v>708.62400000000002</v>
      </c>
      <c r="P93" s="6">
        <v>4512</v>
      </c>
      <c r="Q93" s="4" t="s">
        <v>26</v>
      </c>
      <c r="R93" s="4">
        <v>0</v>
      </c>
      <c r="S93" s="4" t="s">
        <v>131</v>
      </c>
      <c r="T93" s="4" t="s">
        <v>256</v>
      </c>
      <c r="U93" s="4">
        <v>0</v>
      </c>
      <c r="V93" s="4">
        <v>48</v>
      </c>
      <c r="W93" s="4">
        <v>31</v>
      </c>
    </row>
    <row r="94" spans="1:23" ht="11.25" customHeight="1" x14ac:dyDescent="0.3">
      <c r="A94" s="4" t="s">
        <v>27</v>
      </c>
      <c r="B94" s="4" t="s">
        <v>22</v>
      </c>
      <c r="C94" s="4" t="s">
        <v>23</v>
      </c>
      <c r="D94" s="4" t="s">
        <v>24</v>
      </c>
      <c r="E94" s="4" t="s">
        <v>24</v>
      </c>
      <c r="F94" s="4" t="s">
        <v>25</v>
      </c>
      <c r="G94" s="4" t="s">
        <v>25</v>
      </c>
      <c r="H94" s="4" t="s">
        <v>25</v>
      </c>
      <c r="I94" s="5">
        <v>44470</v>
      </c>
      <c r="J94" s="6">
        <v>0</v>
      </c>
      <c r="K94" s="6">
        <v>0</v>
      </c>
      <c r="L94" s="6">
        <v>-0.31</v>
      </c>
      <c r="M94" s="6">
        <v>-0.31</v>
      </c>
      <c r="N94" s="6">
        <v>-0.31</v>
      </c>
      <c r="O94" s="6">
        <v>-0.31</v>
      </c>
      <c r="P94" s="6">
        <v>0</v>
      </c>
      <c r="Q94" s="4" t="s">
        <v>26</v>
      </c>
      <c r="R94" s="4">
        <v>0</v>
      </c>
      <c r="S94" s="4" t="s">
        <v>131</v>
      </c>
      <c r="T94" s="4" t="s">
        <v>256</v>
      </c>
      <c r="U94" s="4">
        <v>0</v>
      </c>
      <c r="V94" s="4">
        <v>48</v>
      </c>
      <c r="W94" s="4">
        <v>31</v>
      </c>
    </row>
    <row r="95" spans="1:23" ht="11.25" customHeight="1" x14ac:dyDescent="0.3">
      <c r="A95" s="4" t="s">
        <v>28</v>
      </c>
      <c r="B95" s="4" t="s">
        <v>22</v>
      </c>
      <c r="C95" s="4" t="s">
        <v>23</v>
      </c>
      <c r="D95" s="4" t="s">
        <v>24</v>
      </c>
      <c r="E95" s="4" t="s">
        <v>24</v>
      </c>
      <c r="F95" s="4" t="s">
        <v>25</v>
      </c>
      <c r="G95" s="4" t="s">
        <v>25</v>
      </c>
      <c r="H95" s="4" t="s">
        <v>25</v>
      </c>
      <c r="I95" s="5">
        <v>44470</v>
      </c>
      <c r="J95" s="6">
        <v>0</v>
      </c>
      <c r="K95" s="6">
        <v>0</v>
      </c>
      <c r="L95" s="6">
        <v>5.0190000000000001</v>
      </c>
      <c r="M95" s="6">
        <v>5.0190000000000001</v>
      </c>
      <c r="N95" s="6">
        <v>5.0190000000000001</v>
      </c>
      <c r="O95" s="6">
        <v>5.0190000000000001</v>
      </c>
      <c r="P95" s="6">
        <v>19</v>
      </c>
      <c r="Q95" s="4" t="s">
        <v>26</v>
      </c>
      <c r="R95" s="4">
        <v>0</v>
      </c>
      <c r="S95" s="4" t="s">
        <v>131</v>
      </c>
      <c r="T95" s="4" t="s">
        <v>256</v>
      </c>
      <c r="U95" s="4">
        <v>0</v>
      </c>
      <c r="V95" s="4">
        <v>48</v>
      </c>
      <c r="W95" s="4">
        <v>31</v>
      </c>
    </row>
    <row r="96" spans="1:23" ht="11.25" customHeight="1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24</v>
      </c>
      <c r="F96" s="4" t="s">
        <v>25</v>
      </c>
      <c r="G96" s="4" t="s">
        <v>25</v>
      </c>
      <c r="H96" s="4" t="s">
        <v>25</v>
      </c>
      <c r="I96" s="5">
        <v>44501</v>
      </c>
      <c r="J96" s="6">
        <v>0</v>
      </c>
      <c r="K96" s="6">
        <v>0</v>
      </c>
      <c r="L96" s="6">
        <v>708.08600000000001</v>
      </c>
      <c r="M96" s="6">
        <v>708.08600000000001</v>
      </c>
      <c r="N96" s="6">
        <v>708.08600000000001</v>
      </c>
      <c r="O96" s="6">
        <v>708.08600000000001</v>
      </c>
      <c r="P96" s="6">
        <v>4526</v>
      </c>
      <c r="Q96" s="4" t="s">
        <v>26</v>
      </c>
      <c r="R96" s="4">
        <v>0</v>
      </c>
      <c r="S96" s="4" t="s">
        <v>132</v>
      </c>
      <c r="T96" s="4" t="s">
        <v>257</v>
      </c>
      <c r="U96" s="4">
        <v>0</v>
      </c>
      <c r="V96" s="4">
        <v>48</v>
      </c>
      <c r="W96" s="4">
        <v>31</v>
      </c>
    </row>
    <row r="97" spans="1:23" ht="11.25" customHeight="1" x14ac:dyDescent="0.3">
      <c r="A97" s="4" t="s">
        <v>27</v>
      </c>
      <c r="B97" s="4" t="s">
        <v>22</v>
      </c>
      <c r="C97" s="4" t="s">
        <v>23</v>
      </c>
      <c r="D97" s="4" t="s">
        <v>24</v>
      </c>
      <c r="E97" s="4" t="s">
        <v>24</v>
      </c>
      <c r="F97" s="4" t="s">
        <v>25</v>
      </c>
      <c r="G97" s="4" t="s">
        <v>25</v>
      </c>
      <c r="H97" s="4" t="s">
        <v>25</v>
      </c>
      <c r="I97" s="5">
        <v>44501</v>
      </c>
      <c r="J97" s="6">
        <v>0</v>
      </c>
      <c r="K97" s="6">
        <v>0</v>
      </c>
      <c r="L97" s="6">
        <v>-2.403</v>
      </c>
      <c r="M97" s="6">
        <v>-2.403</v>
      </c>
      <c r="N97" s="6">
        <v>-2.403</v>
      </c>
      <c r="O97" s="6">
        <v>-2.403</v>
      </c>
      <c r="P97" s="6">
        <v>0</v>
      </c>
      <c r="Q97" s="4" t="s">
        <v>26</v>
      </c>
      <c r="R97" s="4">
        <v>0</v>
      </c>
      <c r="S97" s="4" t="s">
        <v>132</v>
      </c>
      <c r="T97" s="4" t="s">
        <v>257</v>
      </c>
      <c r="U97" s="4">
        <v>0</v>
      </c>
      <c r="V97" s="4">
        <v>48</v>
      </c>
      <c r="W97" s="4">
        <v>31</v>
      </c>
    </row>
    <row r="98" spans="1:23" ht="11.25" customHeight="1" x14ac:dyDescent="0.3">
      <c r="A98" s="4" t="s">
        <v>28</v>
      </c>
      <c r="B98" s="4" t="s">
        <v>22</v>
      </c>
      <c r="C98" s="4" t="s">
        <v>23</v>
      </c>
      <c r="D98" s="4" t="s">
        <v>24</v>
      </c>
      <c r="E98" s="4" t="s">
        <v>24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0</v>
      </c>
      <c r="K98" s="6">
        <v>0</v>
      </c>
      <c r="L98" s="6">
        <v>3.8450000000000002</v>
      </c>
      <c r="M98" s="6">
        <v>3.8450000000000002</v>
      </c>
      <c r="N98" s="6">
        <v>3.8450000000000002</v>
      </c>
      <c r="O98" s="6">
        <v>3.8450000000000002</v>
      </c>
      <c r="P98" s="6">
        <v>20</v>
      </c>
      <c r="Q98" s="4" t="s">
        <v>26</v>
      </c>
      <c r="R98" s="4">
        <v>0</v>
      </c>
      <c r="S98" s="4" t="s">
        <v>132</v>
      </c>
      <c r="T98" s="4" t="s">
        <v>257</v>
      </c>
      <c r="U98" s="4">
        <v>0</v>
      </c>
      <c r="V98" s="4">
        <v>48</v>
      </c>
      <c r="W98" s="4">
        <v>31</v>
      </c>
    </row>
    <row r="99" spans="1:23" ht="11.25" customHeight="1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24</v>
      </c>
      <c r="F99" s="4" t="s">
        <v>25</v>
      </c>
      <c r="G99" s="4" t="s">
        <v>25</v>
      </c>
      <c r="H99" s="4" t="s">
        <v>25</v>
      </c>
      <c r="I99" s="5">
        <v>44531</v>
      </c>
      <c r="J99" s="6">
        <v>0</v>
      </c>
      <c r="K99" s="6">
        <v>0</v>
      </c>
      <c r="L99" s="6">
        <v>721.98400000000004</v>
      </c>
      <c r="M99" s="6">
        <v>721.98400000000004</v>
      </c>
      <c r="N99" s="6">
        <v>721.98400000000004</v>
      </c>
      <c r="O99" s="6">
        <v>721.98400000000004</v>
      </c>
      <c r="P99" s="6">
        <v>4533</v>
      </c>
      <c r="Q99" s="4" t="s">
        <v>26</v>
      </c>
      <c r="R99" s="4">
        <v>0</v>
      </c>
      <c r="S99" s="4" t="s">
        <v>133</v>
      </c>
      <c r="T99" s="4" t="s">
        <v>258</v>
      </c>
      <c r="U99" s="4">
        <v>0</v>
      </c>
      <c r="V99" s="4">
        <v>48</v>
      </c>
      <c r="W99" s="4">
        <v>31</v>
      </c>
    </row>
    <row r="100" spans="1:23" ht="11.25" customHeight="1" x14ac:dyDescent="0.3">
      <c r="A100" s="4" t="s">
        <v>27</v>
      </c>
      <c r="B100" s="4" t="s">
        <v>22</v>
      </c>
      <c r="C100" s="4" t="s">
        <v>23</v>
      </c>
      <c r="D100" s="4" t="s">
        <v>24</v>
      </c>
      <c r="E100" s="4" t="s">
        <v>24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0</v>
      </c>
      <c r="K100" s="6">
        <v>0</v>
      </c>
      <c r="L100" s="6">
        <v>-0.68899999999999995</v>
      </c>
      <c r="M100" s="6">
        <v>-0.68899999999999995</v>
      </c>
      <c r="N100" s="6">
        <v>-0.68899999999999995</v>
      </c>
      <c r="O100" s="6">
        <v>-0.68899999999999995</v>
      </c>
      <c r="P100" s="6">
        <v>0</v>
      </c>
      <c r="Q100" s="4" t="s">
        <v>26</v>
      </c>
      <c r="R100" s="4">
        <v>0</v>
      </c>
      <c r="S100" s="4" t="s">
        <v>133</v>
      </c>
      <c r="T100" s="4" t="s">
        <v>258</v>
      </c>
      <c r="U100" s="4">
        <v>0</v>
      </c>
      <c r="V100" s="4">
        <v>48</v>
      </c>
      <c r="W100" s="4">
        <v>31</v>
      </c>
    </row>
    <row r="101" spans="1:23" ht="11.25" customHeight="1" x14ac:dyDescent="0.3">
      <c r="A101" s="4" t="s">
        <v>28</v>
      </c>
      <c r="B101" s="4" t="s">
        <v>22</v>
      </c>
      <c r="C101" s="4" t="s">
        <v>23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0</v>
      </c>
      <c r="K101" s="6">
        <v>0</v>
      </c>
      <c r="L101" s="6">
        <v>4.524</v>
      </c>
      <c r="M101" s="6">
        <v>4.524</v>
      </c>
      <c r="N101" s="6">
        <v>4.524</v>
      </c>
      <c r="O101" s="6">
        <v>4.524</v>
      </c>
      <c r="P101" s="6">
        <v>22</v>
      </c>
      <c r="Q101" s="4" t="s">
        <v>26</v>
      </c>
      <c r="R101" s="4">
        <v>0</v>
      </c>
      <c r="S101" s="4" t="s">
        <v>133</v>
      </c>
      <c r="T101" s="4" t="s">
        <v>258</v>
      </c>
      <c r="U101" s="4">
        <v>0</v>
      </c>
      <c r="V101" s="4">
        <v>48</v>
      </c>
      <c r="W101" s="4">
        <v>31</v>
      </c>
    </row>
    <row r="102" spans="1:23" ht="11.25" customHeight="1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0</v>
      </c>
      <c r="K102" s="6">
        <v>0</v>
      </c>
      <c r="L102" s="6">
        <v>791.46400000000006</v>
      </c>
      <c r="M102" s="6">
        <v>791.46400000000006</v>
      </c>
      <c r="N102" s="6">
        <v>791.46400000000006</v>
      </c>
      <c r="O102" s="6">
        <v>791.46400000000006</v>
      </c>
      <c r="P102" s="6">
        <v>4544</v>
      </c>
      <c r="Q102" s="4" t="s">
        <v>26</v>
      </c>
      <c r="R102" s="4">
        <v>0</v>
      </c>
      <c r="S102" s="4" t="s">
        <v>134</v>
      </c>
      <c r="T102" s="4" t="s">
        <v>259</v>
      </c>
      <c r="U102" s="4">
        <v>0</v>
      </c>
      <c r="V102" s="4">
        <v>48</v>
      </c>
      <c r="W102" s="4">
        <v>31</v>
      </c>
    </row>
    <row r="103" spans="1:23" ht="11.25" customHeight="1" x14ac:dyDescent="0.3">
      <c r="A103" s="4" t="s">
        <v>27</v>
      </c>
      <c r="B103" s="4" t="s">
        <v>22</v>
      </c>
      <c r="C103" s="4" t="s">
        <v>23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0</v>
      </c>
      <c r="K103" s="6">
        <v>0</v>
      </c>
      <c r="L103" s="6">
        <v>-9.1999999999999998E-2</v>
      </c>
      <c r="M103" s="6">
        <v>-9.1999999999999998E-2</v>
      </c>
      <c r="N103" s="6">
        <v>-9.1999999999999998E-2</v>
      </c>
      <c r="O103" s="6">
        <v>-9.1999999999999998E-2</v>
      </c>
      <c r="P103" s="6">
        <v>0</v>
      </c>
      <c r="Q103" s="4" t="s">
        <v>26</v>
      </c>
      <c r="R103" s="4">
        <v>0</v>
      </c>
      <c r="S103" s="4" t="s">
        <v>134</v>
      </c>
      <c r="T103" s="4" t="s">
        <v>259</v>
      </c>
      <c r="U103" s="4">
        <v>0</v>
      </c>
      <c r="V103" s="4">
        <v>48</v>
      </c>
      <c r="W103" s="4">
        <v>31</v>
      </c>
    </row>
    <row r="104" spans="1:23" ht="11.25" customHeight="1" x14ac:dyDescent="0.3">
      <c r="A104" s="4" t="s">
        <v>28</v>
      </c>
      <c r="B104" s="4" t="s">
        <v>22</v>
      </c>
      <c r="C104" s="4" t="s">
        <v>23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25</v>
      </c>
      <c r="I104" s="5">
        <v>44562</v>
      </c>
      <c r="J104" s="6">
        <v>0</v>
      </c>
      <c r="K104" s="6">
        <v>0</v>
      </c>
      <c r="L104" s="6">
        <v>6.7130000000000001</v>
      </c>
      <c r="M104" s="6">
        <v>6.7130000000000001</v>
      </c>
      <c r="N104" s="6">
        <v>6.7130000000000001</v>
      </c>
      <c r="O104" s="6">
        <v>6.7130000000000001</v>
      </c>
      <c r="P104" s="6">
        <v>24</v>
      </c>
      <c r="Q104" s="4" t="s">
        <v>26</v>
      </c>
      <c r="R104" s="4">
        <v>0</v>
      </c>
      <c r="S104" s="4" t="s">
        <v>134</v>
      </c>
      <c r="T104" s="4" t="s">
        <v>259</v>
      </c>
      <c r="U104" s="4">
        <v>0</v>
      </c>
      <c r="V104" s="4">
        <v>48</v>
      </c>
      <c r="W104" s="4">
        <v>31</v>
      </c>
    </row>
    <row r="105" spans="1:23" ht="11.25" customHeight="1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6">
        <v>0</v>
      </c>
      <c r="L105" s="6">
        <v>769.59500000000003</v>
      </c>
      <c r="M105" s="6">
        <v>769.59500000000003</v>
      </c>
      <c r="N105" s="6">
        <v>769.59500000000003</v>
      </c>
      <c r="O105" s="6">
        <v>769.59500000000003</v>
      </c>
      <c r="P105" s="6">
        <v>4527</v>
      </c>
      <c r="Q105" s="4" t="s">
        <v>26</v>
      </c>
      <c r="R105" s="4">
        <v>0</v>
      </c>
      <c r="S105" s="4" t="s">
        <v>135</v>
      </c>
      <c r="T105" s="4" t="s">
        <v>260</v>
      </c>
      <c r="U105" s="4">
        <v>0</v>
      </c>
      <c r="V105" s="4">
        <v>48</v>
      </c>
      <c r="W105" s="4">
        <v>31</v>
      </c>
    </row>
    <row r="106" spans="1:23" ht="11.25" customHeight="1" x14ac:dyDescent="0.3">
      <c r="A106" s="4" t="s">
        <v>27</v>
      </c>
      <c r="B106" s="4" t="s">
        <v>22</v>
      </c>
      <c r="C106" s="4" t="s">
        <v>23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25</v>
      </c>
      <c r="I106" s="5">
        <v>44593</v>
      </c>
      <c r="J106" s="6">
        <v>0</v>
      </c>
      <c r="K106" s="6">
        <v>0</v>
      </c>
      <c r="L106" s="6">
        <v>-0.161</v>
      </c>
      <c r="M106" s="6">
        <v>-0.161</v>
      </c>
      <c r="N106" s="6">
        <v>-0.161</v>
      </c>
      <c r="O106" s="6">
        <v>-0.161</v>
      </c>
      <c r="P106" s="6">
        <v>0</v>
      </c>
      <c r="Q106" s="4" t="s">
        <v>26</v>
      </c>
      <c r="R106" s="4">
        <v>0</v>
      </c>
      <c r="S106" s="4" t="s">
        <v>135</v>
      </c>
      <c r="T106" s="4" t="s">
        <v>260</v>
      </c>
      <c r="U106" s="4">
        <v>0</v>
      </c>
      <c r="V106" s="4">
        <v>48</v>
      </c>
      <c r="W106" s="4">
        <v>31</v>
      </c>
    </row>
    <row r="107" spans="1:23" ht="11.25" customHeight="1" x14ac:dyDescent="0.3">
      <c r="A107" s="4" t="s">
        <v>28</v>
      </c>
      <c r="B107" s="4" t="s">
        <v>22</v>
      </c>
      <c r="C107" s="4" t="s">
        <v>23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25</v>
      </c>
      <c r="I107" s="5">
        <v>44593</v>
      </c>
      <c r="J107" s="6">
        <v>0</v>
      </c>
      <c r="K107" s="6">
        <v>0</v>
      </c>
      <c r="L107" s="6">
        <v>4.6079999999999997</v>
      </c>
      <c r="M107" s="6">
        <v>4.6079999999999997</v>
      </c>
      <c r="N107" s="6">
        <v>4.6079999999999997</v>
      </c>
      <c r="O107" s="6">
        <v>4.6079999999999997</v>
      </c>
      <c r="P107" s="6">
        <v>27</v>
      </c>
      <c r="Q107" s="4" t="s">
        <v>26</v>
      </c>
      <c r="R107" s="4">
        <v>0</v>
      </c>
      <c r="S107" s="4" t="s">
        <v>135</v>
      </c>
      <c r="T107" s="4" t="s">
        <v>260</v>
      </c>
      <c r="U107" s="4">
        <v>0</v>
      </c>
      <c r="V107" s="4">
        <v>48</v>
      </c>
      <c r="W107" s="4">
        <v>31</v>
      </c>
    </row>
    <row r="108" spans="1:23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44621</v>
      </c>
      <c r="J108" s="6">
        <v>0</v>
      </c>
      <c r="K108" s="6">
        <v>0</v>
      </c>
      <c r="L108" s="6">
        <v>769.95100000000002</v>
      </c>
      <c r="M108" s="6">
        <v>769.95100000000002</v>
      </c>
      <c r="N108" s="6">
        <v>769.95100000000002</v>
      </c>
      <c r="O108" s="6">
        <v>769.95100000000002</v>
      </c>
      <c r="P108" s="6">
        <v>4388</v>
      </c>
      <c r="Q108" s="4" t="s">
        <v>26</v>
      </c>
      <c r="R108" s="4">
        <v>0</v>
      </c>
      <c r="S108" s="4" t="s">
        <v>136</v>
      </c>
      <c r="T108" s="4" t="s">
        <v>261</v>
      </c>
      <c r="U108" s="4">
        <v>0</v>
      </c>
      <c r="V108" s="4">
        <v>48</v>
      </c>
      <c r="W108" s="4">
        <v>31</v>
      </c>
    </row>
    <row r="109" spans="1:23" ht="11.25" customHeight="1" x14ac:dyDescent="0.3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-0.47399999999999998</v>
      </c>
      <c r="M109" s="6">
        <v>-0.47399999999999998</v>
      </c>
      <c r="N109" s="6">
        <v>-0.47399999999999998</v>
      </c>
      <c r="O109" s="6">
        <v>-0.47399999999999998</v>
      </c>
      <c r="P109" s="6">
        <v>0</v>
      </c>
      <c r="Q109" s="4" t="s">
        <v>26</v>
      </c>
      <c r="R109" s="4">
        <v>0</v>
      </c>
      <c r="S109" s="4" t="s">
        <v>136</v>
      </c>
      <c r="T109" s="4" t="s">
        <v>261</v>
      </c>
      <c r="U109" s="4">
        <v>0</v>
      </c>
      <c r="V109" s="4">
        <v>48</v>
      </c>
      <c r="W109" s="4">
        <v>31</v>
      </c>
    </row>
    <row r="110" spans="1:23" ht="11.25" customHeight="1" x14ac:dyDescent="0.3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44621</v>
      </c>
      <c r="J110" s="6">
        <v>0</v>
      </c>
      <c r="K110" s="6">
        <v>0</v>
      </c>
      <c r="L110" s="6">
        <v>3.9129999999999998</v>
      </c>
      <c r="M110" s="6">
        <v>3.9129999999999998</v>
      </c>
      <c r="N110" s="6">
        <v>3.9129999999999998</v>
      </c>
      <c r="O110" s="6">
        <v>3.9129999999999998</v>
      </c>
      <c r="P110" s="6">
        <v>28</v>
      </c>
      <c r="Q110" s="4" t="s">
        <v>26</v>
      </c>
      <c r="R110" s="4">
        <v>0</v>
      </c>
      <c r="S110" s="4" t="s">
        <v>136</v>
      </c>
      <c r="T110" s="4" t="s">
        <v>261</v>
      </c>
      <c r="U110" s="4">
        <v>0</v>
      </c>
      <c r="V110" s="4">
        <v>48</v>
      </c>
      <c r="W110" s="4">
        <v>31</v>
      </c>
    </row>
    <row r="111" spans="1:2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29</v>
      </c>
      <c r="F111" s="4" t="s">
        <v>25</v>
      </c>
      <c r="G111" s="4" t="s">
        <v>25</v>
      </c>
      <c r="H111" s="4" t="s">
        <v>25</v>
      </c>
      <c r="I111" s="5">
        <v>44287</v>
      </c>
      <c r="J111" s="6">
        <v>0</v>
      </c>
      <c r="K111" s="6">
        <v>0</v>
      </c>
      <c r="L111" s="6">
        <v>1.89</v>
      </c>
      <c r="M111" s="6">
        <v>1.89</v>
      </c>
      <c r="N111" s="6">
        <v>1.89</v>
      </c>
      <c r="O111" s="6">
        <v>1.89</v>
      </c>
      <c r="P111" s="6">
        <v>1</v>
      </c>
      <c r="Q111" s="4" t="s">
        <v>26</v>
      </c>
      <c r="R111" s="4">
        <v>0</v>
      </c>
      <c r="S111" s="4" t="s">
        <v>137</v>
      </c>
      <c r="T111" s="4" t="s">
        <v>262</v>
      </c>
      <c r="U111" s="4">
        <v>0</v>
      </c>
      <c r="V111" s="4">
        <v>44</v>
      </c>
      <c r="W111" s="4">
        <v>32</v>
      </c>
    </row>
    <row r="112" spans="1:23" ht="11.25" customHeight="1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29</v>
      </c>
      <c r="F112" s="4" t="s">
        <v>25</v>
      </c>
      <c r="G112" s="4" t="s">
        <v>25</v>
      </c>
      <c r="H112" s="4" t="s">
        <v>25</v>
      </c>
      <c r="I112" s="5">
        <v>44317</v>
      </c>
      <c r="J112" s="6">
        <v>0</v>
      </c>
      <c r="K112" s="6">
        <v>0</v>
      </c>
      <c r="L112" s="6">
        <v>2.04</v>
      </c>
      <c r="M112" s="6">
        <v>2.04</v>
      </c>
      <c r="N112" s="6">
        <v>2.04</v>
      </c>
      <c r="O112" s="6">
        <v>2.04</v>
      </c>
      <c r="P112" s="6">
        <v>0</v>
      </c>
      <c r="Q112" s="4" t="s">
        <v>26</v>
      </c>
      <c r="R112" s="4">
        <v>0</v>
      </c>
      <c r="S112" s="4" t="s">
        <v>138</v>
      </c>
      <c r="T112" s="4" t="s">
        <v>263</v>
      </c>
      <c r="U112" s="4">
        <v>0</v>
      </c>
      <c r="V112" s="4">
        <v>44</v>
      </c>
      <c r="W112" s="4">
        <v>32</v>
      </c>
    </row>
    <row r="113" spans="1:23" ht="11.25" customHeight="1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29</v>
      </c>
      <c r="F113" s="4" t="s">
        <v>25</v>
      </c>
      <c r="G113" s="4" t="s">
        <v>25</v>
      </c>
      <c r="H113" s="4" t="s">
        <v>25</v>
      </c>
      <c r="I113" s="5">
        <v>44348</v>
      </c>
      <c r="J113" s="6">
        <v>0</v>
      </c>
      <c r="K113" s="6">
        <v>0</v>
      </c>
      <c r="L113" s="6">
        <v>2.16</v>
      </c>
      <c r="M113" s="6">
        <v>2.16</v>
      </c>
      <c r="N113" s="6">
        <v>2.16</v>
      </c>
      <c r="O113" s="6">
        <v>2.16</v>
      </c>
      <c r="P113" s="6">
        <v>1</v>
      </c>
      <c r="Q113" s="4" t="s">
        <v>26</v>
      </c>
      <c r="R113" s="4">
        <v>0</v>
      </c>
      <c r="S113" s="4" t="s">
        <v>139</v>
      </c>
      <c r="T113" s="4" t="s">
        <v>264</v>
      </c>
      <c r="U113" s="4">
        <v>0</v>
      </c>
      <c r="V113" s="4">
        <v>44</v>
      </c>
      <c r="W113" s="4">
        <v>32</v>
      </c>
    </row>
    <row r="114" spans="1:2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29</v>
      </c>
      <c r="F114" s="4" t="s">
        <v>25</v>
      </c>
      <c r="G114" s="4" t="s">
        <v>25</v>
      </c>
      <c r="H114" s="4" t="s">
        <v>25</v>
      </c>
      <c r="I114" s="5">
        <v>44378</v>
      </c>
      <c r="J114" s="6">
        <v>0</v>
      </c>
      <c r="K114" s="6">
        <v>0</v>
      </c>
      <c r="L114" s="6">
        <v>2.2200000000000002</v>
      </c>
      <c r="M114" s="6">
        <v>2.2200000000000002</v>
      </c>
      <c r="N114" s="6">
        <v>2.2200000000000002</v>
      </c>
      <c r="O114" s="6">
        <v>2.2200000000000002</v>
      </c>
      <c r="P114" s="6">
        <v>2</v>
      </c>
      <c r="Q114" s="4" t="s">
        <v>26</v>
      </c>
      <c r="R114" s="4">
        <v>0</v>
      </c>
      <c r="S114" s="4" t="s">
        <v>140</v>
      </c>
      <c r="T114" s="4" t="s">
        <v>265</v>
      </c>
      <c r="U114" s="4">
        <v>0</v>
      </c>
      <c r="V114" s="4">
        <v>44</v>
      </c>
      <c r="W114" s="4">
        <v>32</v>
      </c>
    </row>
    <row r="115" spans="1:23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29</v>
      </c>
      <c r="F115" s="4" t="s">
        <v>25</v>
      </c>
      <c r="G115" s="4" t="s">
        <v>25</v>
      </c>
      <c r="H115" s="4" t="s">
        <v>25</v>
      </c>
      <c r="I115" s="5">
        <v>44409</v>
      </c>
      <c r="J115" s="6">
        <v>0</v>
      </c>
      <c r="K115" s="6">
        <v>0</v>
      </c>
      <c r="L115" s="6">
        <v>2.25</v>
      </c>
      <c r="M115" s="6">
        <v>2.25</v>
      </c>
      <c r="N115" s="6">
        <v>2.25</v>
      </c>
      <c r="O115" s="6">
        <v>2.25</v>
      </c>
      <c r="P115" s="6">
        <v>0</v>
      </c>
      <c r="Q115" s="4" t="s">
        <v>26</v>
      </c>
      <c r="R115" s="4">
        <v>0</v>
      </c>
      <c r="S115" s="4" t="s">
        <v>141</v>
      </c>
      <c r="T115" s="4" t="s">
        <v>266</v>
      </c>
      <c r="U115" s="4">
        <v>0</v>
      </c>
      <c r="V115" s="4">
        <v>44</v>
      </c>
      <c r="W115" s="4">
        <v>32</v>
      </c>
    </row>
    <row r="116" spans="1:2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29</v>
      </c>
      <c r="F116" s="4" t="s">
        <v>25</v>
      </c>
      <c r="G116" s="4" t="s">
        <v>25</v>
      </c>
      <c r="H116" s="4" t="s">
        <v>25</v>
      </c>
      <c r="I116" s="5">
        <v>44440</v>
      </c>
      <c r="J116" s="6">
        <v>0</v>
      </c>
      <c r="K116" s="6">
        <v>0</v>
      </c>
      <c r="L116" s="6">
        <v>2.34</v>
      </c>
      <c r="M116" s="6">
        <v>2.34</v>
      </c>
      <c r="N116" s="6">
        <v>2.34</v>
      </c>
      <c r="O116" s="6">
        <v>2.34</v>
      </c>
      <c r="P116" s="6">
        <v>0</v>
      </c>
      <c r="Q116" s="4" t="s">
        <v>26</v>
      </c>
      <c r="R116" s="4">
        <v>0</v>
      </c>
      <c r="S116" s="4" t="s">
        <v>142</v>
      </c>
      <c r="T116" s="4" t="s">
        <v>267</v>
      </c>
      <c r="U116" s="4">
        <v>0</v>
      </c>
      <c r="V116" s="4">
        <v>44</v>
      </c>
      <c r="W116" s="4">
        <v>32</v>
      </c>
    </row>
    <row r="117" spans="1:23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29</v>
      </c>
      <c r="F117" s="4" t="s">
        <v>25</v>
      </c>
      <c r="G117" s="4" t="s">
        <v>25</v>
      </c>
      <c r="H117" s="4" t="s">
        <v>25</v>
      </c>
      <c r="I117" s="5">
        <v>44470</v>
      </c>
      <c r="J117" s="6">
        <v>0</v>
      </c>
      <c r="K117" s="6">
        <v>0</v>
      </c>
      <c r="L117" s="6">
        <v>2.4900000000000002</v>
      </c>
      <c r="M117" s="6">
        <v>2.4900000000000002</v>
      </c>
      <c r="N117" s="6">
        <v>2.4900000000000002</v>
      </c>
      <c r="O117" s="6">
        <v>2.4900000000000002</v>
      </c>
      <c r="P117" s="6">
        <v>0</v>
      </c>
      <c r="Q117" s="4" t="s">
        <v>26</v>
      </c>
      <c r="R117" s="4">
        <v>0</v>
      </c>
      <c r="S117" s="4" t="s">
        <v>143</v>
      </c>
      <c r="T117" s="4" t="s">
        <v>268</v>
      </c>
      <c r="U117" s="4">
        <v>0</v>
      </c>
      <c r="V117" s="4">
        <v>44</v>
      </c>
      <c r="W117" s="4">
        <v>32</v>
      </c>
    </row>
    <row r="118" spans="1:23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29</v>
      </c>
      <c r="F118" s="4" t="s">
        <v>25</v>
      </c>
      <c r="G118" s="4" t="s">
        <v>25</v>
      </c>
      <c r="H118" s="4" t="s">
        <v>25</v>
      </c>
      <c r="I118" s="5">
        <v>44501</v>
      </c>
      <c r="J118" s="6">
        <v>0</v>
      </c>
      <c r="K118" s="6">
        <v>0</v>
      </c>
      <c r="L118" s="6">
        <v>2.7</v>
      </c>
      <c r="M118" s="6">
        <v>2.7</v>
      </c>
      <c r="N118" s="6">
        <v>2.7</v>
      </c>
      <c r="O118" s="6">
        <v>2.7</v>
      </c>
      <c r="P118" s="6">
        <v>0</v>
      </c>
      <c r="Q118" s="4" t="s">
        <v>26</v>
      </c>
      <c r="R118" s="4">
        <v>0</v>
      </c>
      <c r="S118" s="4" t="s">
        <v>144</v>
      </c>
      <c r="T118" s="4" t="s">
        <v>269</v>
      </c>
      <c r="U118" s="4">
        <v>0</v>
      </c>
      <c r="V118" s="4">
        <v>44</v>
      </c>
      <c r="W118" s="4">
        <v>32</v>
      </c>
    </row>
    <row r="119" spans="1:23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29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2.73</v>
      </c>
      <c r="M119" s="6">
        <v>2.73</v>
      </c>
      <c r="N119" s="6">
        <v>2.73</v>
      </c>
      <c r="O119" s="6">
        <v>2.73</v>
      </c>
      <c r="P119" s="6">
        <v>1</v>
      </c>
      <c r="Q119" s="4" t="s">
        <v>26</v>
      </c>
      <c r="R119" s="4">
        <v>0</v>
      </c>
      <c r="S119" s="4" t="s">
        <v>145</v>
      </c>
      <c r="T119" s="4" t="s">
        <v>270</v>
      </c>
      <c r="U119" s="4">
        <v>0</v>
      </c>
      <c r="V119" s="4">
        <v>44</v>
      </c>
      <c r="W119" s="4">
        <v>32</v>
      </c>
    </row>
    <row r="120" spans="1:23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29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2.97</v>
      </c>
      <c r="M120" s="6">
        <v>2.97</v>
      </c>
      <c r="N120" s="6">
        <v>2.97</v>
      </c>
      <c r="O120" s="6">
        <v>2.97</v>
      </c>
      <c r="P120" s="6">
        <v>1</v>
      </c>
      <c r="Q120" s="4" t="s">
        <v>26</v>
      </c>
      <c r="R120" s="4">
        <v>0</v>
      </c>
      <c r="S120" s="4" t="s">
        <v>146</v>
      </c>
      <c r="T120" s="4" t="s">
        <v>271</v>
      </c>
      <c r="U120" s="4">
        <v>0</v>
      </c>
      <c r="V120" s="4">
        <v>44</v>
      </c>
      <c r="W120" s="4">
        <v>32</v>
      </c>
    </row>
    <row r="121" spans="1:23" ht="11.25" customHeight="1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29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3.36</v>
      </c>
      <c r="M121" s="6">
        <v>3.36</v>
      </c>
      <c r="N121" s="6">
        <v>3.36</v>
      </c>
      <c r="O121" s="6">
        <v>3.36</v>
      </c>
      <c r="P121" s="6">
        <v>1</v>
      </c>
      <c r="Q121" s="4" t="s">
        <v>26</v>
      </c>
      <c r="R121" s="4">
        <v>0</v>
      </c>
      <c r="S121" s="4" t="s">
        <v>147</v>
      </c>
      <c r="T121" s="4" t="s">
        <v>272</v>
      </c>
      <c r="U121" s="4">
        <v>0</v>
      </c>
      <c r="V121" s="4">
        <v>44</v>
      </c>
      <c r="W121" s="4">
        <v>32</v>
      </c>
    </row>
    <row r="122" spans="1:2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29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7.62</v>
      </c>
      <c r="M122" s="6">
        <v>7.62</v>
      </c>
      <c r="N122" s="6">
        <v>7.62</v>
      </c>
      <c r="O122" s="6">
        <v>7.62</v>
      </c>
      <c r="P122" s="6">
        <v>11</v>
      </c>
      <c r="Q122" s="4" t="s">
        <v>26</v>
      </c>
      <c r="R122" s="4">
        <v>0</v>
      </c>
      <c r="S122" s="4" t="s">
        <v>148</v>
      </c>
      <c r="T122" s="4" t="s">
        <v>273</v>
      </c>
      <c r="U122" s="4">
        <v>0</v>
      </c>
      <c r="V122" s="4">
        <v>44</v>
      </c>
      <c r="W122" s="4">
        <v>32</v>
      </c>
    </row>
    <row r="123" spans="1:23" ht="11.25" customHeight="1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30</v>
      </c>
      <c r="F123" s="4" t="s">
        <v>25</v>
      </c>
      <c r="G123" s="4" t="s">
        <v>25</v>
      </c>
      <c r="H123" s="4" t="s">
        <v>25</v>
      </c>
      <c r="I123" s="5">
        <v>44287</v>
      </c>
      <c r="J123" s="6">
        <v>0</v>
      </c>
      <c r="K123" s="6">
        <v>0</v>
      </c>
      <c r="L123" s="6">
        <v>4.13</v>
      </c>
      <c r="M123" s="6">
        <v>4.13</v>
      </c>
      <c r="N123" s="6">
        <v>4.13</v>
      </c>
      <c r="O123" s="6">
        <v>4.13</v>
      </c>
      <c r="P123" s="6">
        <v>9</v>
      </c>
      <c r="Q123" s="4" t="s">
        <v>26</v>
      </c>
      <c r="R123" s="4">
        <v>0</v>
      </c>
      <c r="S123" s="4" t="s">
        <v>149</v>
      </c>
      <c r="T123" s="4" t="s">
        <v>274</v>
      </c>
      <c r="U123" s="4">
        <v>0</v>
      </c>
      <c r="V123" s="4">
        <v>45</v>
      </c>
      <c r="W123" s="4">
        <v>33</v>
      </c>
    </row>
    <row r="124" spans="1:23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30</v>
      </c>
      <c r="F124" s="4" t="s">
        <v>25</v>
      </c>
      <c r="G124" s="4" t="s">
        <v>25</v>
      </c>
      <c r="H124" s="4" t="s">
        <v>25</v>
      </c>
      <c r="I124" s="5">
        <v>44317</v>
      </c>
      <c r="J124" s="6">
        <v>0</v>
      </c>
      <c r="K124" s="6">
        <v>0</v>
      </c>
      <c r="L124" s="6">
        <v>4.41</v>
      </c>
      <c r="M124" s="6">
        <v>4.41</v>
      </c>
      <c r="N124" s="6">
        <v>4.41</v>
      </c>
      <c r="O124" s="6">
        <v>4.41</v>
      </c>
      <c r="P124" s="6">
        <v>14</v>
      </c>
      <c r="Q124" s="4" t="s">
        <v>26</v>
      </c>
      <c r="R124" s="4">
        <v>0</v>
      </c>
      <c r="S124" s="4" t="s">
        <v>150</v>
      </c>
      <c r="T124" s="4" t="s">
        <v>275</v>
      </c>
      <c r="U124" s="4">
        <v>0</v>
      </c>
      <c r="V124" s="4">
        <v>45</v>
      </c>
      <c r="W124" s="4">
        <v>33</v>
      </c>
    </row>
    <row r="125" spans="1:23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30</v>
      </c>
      <c r="F125" s="4" t="s">
        <v>25</v>
      </c>
      <c r="G125" s="4" t="s">
        <v>25</v>
      </c>
      <c r="H125" s="4" t="s">
        <v>25</v>
      </c>
      <c r="I125" s="5">
        <v>44348</v>
      </c>
      <c r="J125" s="6">
        <v>0</v>
      </c>
      <c r="K125" s="6">
        <v>0</v>
      </c>
      <c r="L125" s="6">
        <v>4.6740000000000004</v>
      </c>
      <c r="M125" s="6">
        <v>4.6740000000000004</v>
      </c>
      <c r="N125" s="6">
        <v>4.6740000000000004</v>
      </c>
      <c r="O125" s="6">
        <v>4.6740000000000004</v>
      </c>
      <c r="P125" s="6">
        <v>13</v>
      </c>
      <c r="Q125" s="4" t="s">
        <v>26</v>
      </c>
      <c r="R125" s="4">
        <v>0</v>
      </c>
      <c r="S125" s="4" t="s">
        <v>151</v>
      </c>
      <c r="T125" s="4" t="s">
        <v>276</v>
      </c>
      <c r="U125" s="4">
        <v>0</v>
      </c>
      <c r="V125" s="4">
        <v>45</v>
      </c>
      <c r="W125" s="4">
        <v>33</v>
      </c>
    </row>
    <row r="126" spans="1:23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30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0</v>
      </c>
      <c r="K126" s="6">
        <v>0</v>
      </c>
      <c r="L126" s="6">
        <v>4.6449999999999996</v>
      </c>
      <c r="M126" s="6">
        <v>4.6449999999999996</v>
      </c>
      <c r="N126" s="6">
        <v>4.6449999999999996</v>
      </c>
      <c r="O126" s="6">
        <v>4.6449999999999996</v>
      </c>
      <c r="P126" s="6">
        <v>16</v>
      </c>
      <c r="Q126" s="4" t="s">
        <v>26</v>
      </c>
      <c r="R126" s="4">
        <v>0</v>
      </c>
      <c r="S126" s="4" t="s">
        <v>152</v>
      </c>
      <c r="T126" s="4" t="s">
        <v>277</v>
      </c>
      <c r="U126" s="4">
        <v>0</v>
      </c>
      <c r="V126" s="4">
        <v>45</v>
      </c>
      <c r="W126" s="4">
        <v>33</v>
      </c>
    </row>
    <row r="127" spans="1:23" ht="11.25" customHeight="1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30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0</v>
      </c>
      <c r="K127" s="6">
        <v>0</v>
      </c>
      <c r="L127" s="6">
        <v>4.83</v>
      </c>
      <c r="M127" s="6">
        <v>4.83</v>
      </c>
      <c r="N127" s="6">
        <v>4.83</v>
      </c>
      <c r="O127" s="6">
        <v>4.83</v>
      </c>
      <c r="P127" s="6">
        <v>17</v>
      </c>
      <c r="Q127" s="4" t="s">
        <v>26</v>
      </c>
      <c r="R127" s="4">
        <v>0</v>
      </c>
      <c r="S127" s="4" t="s">
        <v>153</v>
      </c>
      <c r="T127" s="4" t="s">
        <v>278</v>
      </c>
      <c r="U127" s="4">
        <v>0</v>
      </c>
      <c r="V127" s="4">
        <v>45</v>
      </c>
      <c r="W127" s="4">
        <v>33</v>
      </c>
    </row>
    <row r="128" spans="1:23" ht="11.25" customHeight="1" x14ac:dyDescent="0.3">
      <c r="A128" s="4" t="s">
        <v>27</v>
      </c>
      <c r="B128" s="4" t="s">
        <v>22</v>
      </c>
      <c r="C128" s="4" t="s">
        <v>23</v>
      </c>
      <c r="D128" s="4" t="s">
        <v>24</v>
      </c>
      <c r="E128" s="4" t="s">
        <v>30</v>
      </c>
      <c r="F128" s="4" t="s">
        <v>25</v>
      </c>
      <c r="G128" s="4" t="s">
        <v>25</v>
      </c>
      <c r="H128" s="4" t="s">
        <v>25</v>
      </c>
      <c r="I128" s="5">
        <v>44409</v>
      </c>
      <c r="J128" s="6">
        <v>0</v>
      </c>
      <c r="K128" s="6">
        <v>0</v>
      </c>
      <c r="L128" s="6">
        <v>-0.03</v>
      </c>
      <c r="M128" s="6">
        <v>-0.03</v>
      </c>
      <c r="N128" s="6">
        <v>-0.03</v>
      </c>
      <c r="O128" s="6">
        <v>-0.03</v>
      </c>
      <c r="P128" s="6">
        <v>0</v>
      </c>
      <c r="Q128" s="4" t="s">
        <v>26</v>
      </c>
      <c r="R128" s="4">
        <v>0</v>
      </c>
      <c r="S128" s="4" t="s">
        <v>153</v>
      </c>
      <c r="T128" s="4" t="s">
        <v>278</v>
      </c>
      <c r="U128" s="4">
        <v>0</v>
      </c>
      <c r="V128" s="4">
        <v>45</v>
      </c>
      <c r="W128" s="4">
        <v>33</v>
      </c>
    </row>
    <row r="129" spans="1:23" ht="11.25" customHeight="1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30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0</v>
      </c>
      <c r="K129" s="6">
        <v>0</v>
      </c>
      <c r="L129" s="6">
        <v>5.1890000000000001</v>
      </c>
      <c r="M129" s="6">
        <v>5.1890000000000001</v>
      </c>
      <c r="N129" s="6">
        <v>5.1890000000000001</v>
      </c>
      <c r="O129" s="6">
        <v>5.1890000000000001</v>
      </c>
      <c r="P129" s="6">
        <v>14</v>
      </c>
      <c r="Q129" s="4" t="s">
        <v>26</v>
      </c>
      <c r="R129" s="4">
        <v>0</v>
      </c>
      <c r="S129" s="4" t="s">
        <v>154</v>
      </c>
      <c r="T129" s="4" t="s">
        <v>279</v>
      </c>
      <c r="U129" s="4">
        <v>0</v>
      </c>
      <c r="V129" s="4">
        <v>45</v>
      </c>
      <c r="W129" s="4">
        <v>33</v>
      </c>
    </row>
    <row r="130" spans="1:23" ht="11.25" customHeight="1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30</v>
      </c>
      <c r="F130" s="4" t="s">
        <v>25</v>
      </c>
      <c r="G130" s="4" t="s">
        <v>25</v>
      </c>
      <c r="H130" s="4" t="s">
        <v>25</v>
      </c>
      <c r="I130" s="5">
        <v>44470</v>
      </c>
      <c r="J130" s="6">
        <v>0</v>
      </c>
      <c r="K130" s="6">
        <v>0</v>
      </c>
      <c r="L130" s="6">
        <v>5.5750000000000002</v>
      </c>
      <c r="M130" s="6">
        <v>5.5750000000000002</v>
      </c>
      <c r="N130" s="6">
        <v>5.5750000000000002</v>
      </c>
      <c r="O130" s="6">
        <v>5.5750000000000002</v>
      </c>
      <c r="P130" s="6">
        <v>12</v>
      </c>
      <c r="Q130" s="4" t="s">
        <v>26</v>
      </c>
      <c r="R130" s="4">
        <v>0</v>
      </c>
      <c r="S130" s="4" t="s">
        <v>155</v>
      </c>
      <c r="T130" s="4" t="s">
        <v>280</v>
      </c>
      <c r="U130" s="4">
        <v>0</v>
      </c>
      <c r="V130" s="4">
        <v>45</v>
      </c>
      <c r="W130" s="4">
        <v>33</v>
      </c>
    </row>
    <row r="131" spans="1:2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30</v>
      </c>
      <c r="F131" s="4" t="s">
        <v>25</v>
      </c>
      <c r="G131" s="4" t="s">
        <v>25</v>
      </c>
      <c r="H131" s="4" t="s">
        <v>25</v>
      </c>
      <c r="I131" s="5">
        <v>44501</v>
      </c>
      <c r="J131" s="6">
        <v>0</v>
      </c>
      <c r="K131" s="6">
        <v>0</v>
      </c>
      <c r="L131" s="6">
        <v>5.9130000000000003</v>
      </c>
      <c r="M131" s="6">
        <v>5.9130000000000003</v>
      </c>
      <c r="N131" s="6">
        <v>5.9130000000000003</v>
      </c>
      <c r="O131" s="6">
        <v>5.9130000000000003</v>
      </c>
      <c r="P131" s="6">
        <v>19</v>
      </c>
      <c r="Q131" s="4" t="s">
        <v>26</v>
      </c>
      <c r="R131" s="4">
        <v>0</v>
      </c>
      <c r="S131" s="4" t="s">
        <v>156</v>
      </c>
      <c r="T131" s="4" t="s">
        <v>281</v>
      </c>
      <c r="U131" s="4">
        <v>0</v>
      </c>
      <c r="V131" s="4">
        <v>45</v>
      </c>
      <c r="W131" s="4">
        <v>33</v>
      </c>
    </row>
    <row r="132" spans="1:23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30</v>
      </c>
      <c r="F132" s="4" t="s">
        <v>25</v>
      </c>
      <c r="G132" s="4" t="s">
        <v>25</v>
      </c>
      <c r="H132" s="4" t="s">
        <v>25</v>
      </c>
      <c r="I132" s="5">
        <v>44531</v>
      </c>
      <c r="J132" s="6">
        <v>0</v>
      </c>
      <c r="K132" s="6">
        <v>0</v>
      </c>
      <c r="L132" s="6">
        <v>6.1369999999999996</v>
      </c>
      <c r="M132" s="6">
        <v>6.1369999999999996</v>
      </c>
      <c r="N132" s="6">
        <v>6.1369999999999996</v>
      </c>
      <c r="O132" s="6">
        <v>6.1369999999999996</v>
      </c>
      <c r="P132" s="6">
        <v>9</v>
      </c>
      <c r="Q132" s="4" t="s">
        <v>26</v>
      </c>
      <c r="R132" s="4">
        <v>0</v>
      </c>
      <c r="S132" s="4" t="s">
        <v>157</v>
      </c>
      <c r="T132" s="4" t="s">
        <v>282</v>
      </c>
      <c r="U132" s="4">
        <v>0</v>
      </c>
      <c r="V132" s="4">
        <v>45</v>
      </c>
      <c r="W132" s="4">
        <v>33</v>
      </c>
    </row>
    <row r="133" spans="1:23" ht="11.25" customHeight="1" x14ac:dyDescent="0.3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30</v>
      </c>
      <c r="F133" s="4" t="s">
        <v>25</v>
      </c>
      <c r="G133" s="4" t="s">
        <v>25</v>
      </c>
      <c r="H133" s="4" t="s">
        <v>25</v>
      </c>
      <c r="I133" s="5">
        <v>44531</v>
      </c>
      <c r="J133" s="6">
        <v>0</v>
      </c>
      <c r="K133" s="6">
        <v>0</v>
      </c>
      <c r="L133" s="6">
        <v>-0.01</v>
      </c>
      <c r="M133" s="6">
        <v>-0.01</v>
      </c>
      <c r="N133" s="6">
        <v>-0.01</v>
      </c>
      <c r="O133" s="6">
        <v>-0.01</v>
      </c>
      <c r="P133" s="6">
        <v>0</v>
      </c>
      <c r="Q133" s="4" t="s">
        <v>26</v>
      </c>
      <c r="R133" s="4">
        <v>0</v>
      </c>
      <c r="S133" s="4" t="s">
        <v>157</v>
      </c>
      <c r="T133" s="4" t="s">
        <v>282</v>
      </c>
      <c r="U133" s="4">
        <v>0</v>
      </c>
      <c r="V133" s="4">
        <v>45</v>
      </c>
      <c r="W133" s="4">
        <v>33</v>
      </c>
    </row>
    <row r="134" spans="1:2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30</v>
      </c>
      <c r="F134" s="4" t="s">
        <v>25</v>
      </c>
      <c r="G134" s="4" t="s">
        <v>25</v>
      </c>
      <c r="H134" s="4" t="s">
        <v>25</v>
      </c>
      <c r="I134" s="5">
        <v>44562</v>
      </c>
      <c r="J134" s="6">
        <v>0</v>
      </c>
      <c r="K134" s="6">
        <v>0</v>
      </c>
      <c r="L134" s="6">
        <v>6.6760000000000002</v>
      </c>
      <c r="M134" s="6">
        <v>6.6760000000000002</v>
      </c>
      <c r="N134" s="6">
        <v>6.6760000000000002</v>
      </c>
      <c r="O134" s="6">
        <v>6.6760000000000002</v>
      </c>
      <c r="P134" s="6">
        <v>10</v>
      </c>
      <c r="Q134" s="4" t="s">
        <v>26</v>
      </c>
      <c r="R134" s="4">
        <v>0</v>
      </c>
      <c r="S134" s="4" t="s">
        <v>158</v>
      </c>
      <c r="T134" s="4" t="s">
        <v>283</v>
      </c>
      <c r="U134" s="4">
        <v>0</v>
      </c>
      <c r="V134" s="4">
        <v>45</v>
      </c>
      <c r="W134" s="4">
        <v>33</v>
      </c>
    </row>
    <row r="135" spans="1:23" ht="11.25" customHeight="1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30</v>
      </c>
      <c r="F135" s="4" t="s">
        <v>25</v>
      </c>
      <c r="G135" s="4" t="s">
        <v>25</v>
      </c>
      <c r="H135" s="4" t="s">
        <v>25</v>
      </c>
      <c r="I135" s="5">
        <v>44593</v>
      </c>
      <c r="J135" s="6">
        <v>0</v>
      </c>
      <c r="K135" s="6">
        <v>0</v>
      </c>
      <c r="L135" s="6">
        <v>7.4710000000000001</v>
      </c>
      <c r="M135" s="6">
        <v>7.4710000000000001</v>
      </c>
      <c r="N135" s="6">
        <v>7.4710000000000001</v>
      </c>
      <c r="O135" s="6">
        <v>7.4710000000000001</v>
      </c>
      <c r="P135" s="6">
        <v>13</v>
      </c>
      <c r="Q135" s="4" t="s">
        <v>26</v>
      </c>
      <c r="R135" s="4">
        <v>0</v>
      </c>
      <c r="S135" s="4" t="s">
        <v>159</v>
      </c>
      <c r="T135" s="4" t="s">
        <v>284</v>
      </c>
      <c r="U135" s="4">
        <v>0</v>
      </c>
      <c r="V135" s="4">
        <v>45</v>
      </c>
      <c r="W135" s="4">
        <v>33</v>
      </c>
    </row>
    <row r="136" spans="1:2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30</v>
      </c>
      <c r="F136" s="4" t="s">
        <v>25</v>
      </c>
      <c r="G136" s="4" t="s">
        <v>25</v>
      </c>
      <c r="H136" s="4" t="s">
        <v>25</v>
      </c>
      <c r="I136" s="5">
        <v>44621</v>
      </c>
      <c r="J136" s="6">
        <v>0</v>
      </c>
      <c r="K136" s="6">
        <v>0</v>
      </c>
      <c r="L136" s="6">
        <v>15.465</v>
      </c>
      <c r="M136" s="6">
        <v>15.465</v>
      </c>
      <c r="N136" s="6">
        <v>15.465</v>
      </c>
      <c r="O136" s="6">
        <v>15.465</v>
      </c>
      <c r="P136" s="6">
        <v>53</v>
      </c>
      <c r="Q136" s="4" t="s">
        <v>26</v>
      </c>
      <c r="R136" s="4">
        <v>0</v>
      </c>
      <c r="S136" s="4" t="s">
        <v>160</v>
      </c>
      <c r="T136" s="4" t="s">
        <v>285</v>
      </c>
      <c r="U136" s="4">
        <v>0</v>
      </c>
      <c r="V136" s="4">
        <v>45</v>
      </c>
      <c r="W136" s="4">
        <v>33</v>
      </c>
    </row>
    <row r="137" spans="1:2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31</v>
      </c>
      <c r="F137" s="4" t="s">
        <v>25</v>
      </c>
      <c r="G137" s="4" t="s">
        <v>25</v>
      </c>
      <c r="H137" s="4" t="s">
        <v>25</v>
      </c>
      <c r="I137" s="5">
        <v>44287</v>
      </c>
      <c r="J137" s="6">
        <v>0</v>
      </c>
      <c r="K137" s="6">
        <v>0</v>
      </c>
      <c r="L137" s="6">
        <v>3.9220000000000002</v>
      </c>
      <c r="M137" s="6">
        <v>3.9220000000000002</v>
      </c>
      <c r="N137" s="6">
        <v>3.9220000000000002</v>
      </c>
      <c r="O137" s="6">
        <v>3.9220000000000002</v>
      </c>
      <c r="P137" s="6">
        <v>39</v>
      </c>
      <c r="Q137" s="4" t="s">
        <v>26</v>
      </c>
      <c r="R137" s="4">
        <v>0</v>
      </c>
      <c r="S137" s="4" t="s">
        <v>161</v>
      </c>
      <c r="T137" s="4" t="s">
        <v>286</v>
      </c>
      <c r="U137" s="4">
        <v>0</v>
      </c>
      <c r="V137" s="4">
        <v>40</v>
      </c>
      <c r="W137" s="4">
        <v>27</v>
      </c>
    </row>
    <row r="138" spans="1:23" ht="11.25" customHeight="1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31</v>
      </c>
      <c r="F138" s="4" t="s">
        <v>25</v>
      </c>
      <c r="G138" s="4" t="s">
        <v>25</v>
      </c>
      <c r="H138" s="4" t="s">
        <v>25</v>
      </c>
      <c r="I138" s="5">
        <v>44317</v>
      </c>
      <c r="J138" s="6">
        <v>0</v>
      </c>
      <c r="K138" s="6">
        <v>0</v>
      </c>
      <c r="L138" s="6">
        <v>3.9279999999999999</v>
      </c>
      <c r="M138" s="6">
        <v>3.9279999999999999</v>
      </c>
      <c r="N138" s="6">
        <v>3.9279999999999999</v>
      </c>
      <c r="O138" s="6">
        <v>3.9279999999999999</v>
      </c>
      <c r="P138" s="6">
        <v>44</v>
      </c>
      <c r="Q138" s="4" t="s">
        <v>26</v>
      </c>
      <c r="R138" s="4">
        <v>0</v>
      </c>
      <c r="S138" s="4" t="s">
        <v>162</v>
      </c>
      <c r="T138" s="4" t="s">
        <v>287</v>
      </c>
      <c r="U138" s="4">
        <v>0</v>
      </c>
      <c r="V138" s="4">
        <v>40</v>
      </c>
      <c r="W138" s="4">
        <v>27</v>
      </c>
    </row>
    <row r="139" spans="1:23" ht="11.25" customHeight="1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31</v>
      </c>
      <c r="F139" s="4" t="s">
        <v>25</v>
      </c>
      <c r="G139" s="4" t="s">
        <v>25</v>
      </c>
      <c r="H139" s="4" t="s">
        <v>25</v>
      </c>
      <c r="I139" s="5">
        <v>44348</v>
      </c>
      <c r="J139" s="6">
        <v>0</v>
      </c>
      <c r="K139" s="6">
        <v>0</v>
      </c>
      <c r="L139" s="6">
        <v>3.9359999999999999</v>
      </c>
      <c r="M139" s="6">
        <v>3.9359999999999999</v>
      </c>
      <c r="N139" s="6">
        <v>3.9359999999999999</v>
      </c>
      <c r="O139" s="6">
        <v>3.9359999999999999</v>
      </c>
      <c r="P139" s="6">
        <v>50</v>
      </c>
      <c r="Q139" s="4" t="s">
        <v>26</v>
      </c>
      <c r="R139" s="4">
        <v>0</v>
      </c>
      <c r="S139" s="4" t="s">
        <v>163</v>
      </c>
      <c r="T139" s="4" t="s">
        <v>288</v>
      </c>
      <c r="U139" s="4">
        <v>0</v>
      </c>
      <c r="V139" s="4">
        <v>40</v>
      </c>
      <c r="W139" s="4">
        <v>27</v>
      </c>
    </row>
    <row r="140" spans="1:2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31</v>
      </c>
      <c r="F140" s="4" t="s">
        <v>25</v>
      </c>
      <c r="G140" s="4" t="s">
        <v>25</v>
      </c>
      <c r="H140" s="4" t="s">
        <v>25</v>
      </c>
      <c r="I140" s="5">
        <v>44378</v>
      </c>
      <c r="J140" s="6">
        <v>0</v>
      </c>
      <c r="K140" s="6">
        <v>0</v>
      </c>
      <c r="L140" s="6">
        <v>3.504</v>
      </c>
      <c r="M140" s="6">
        <v>3.504</v>
      </c>
      <c r="N140" s="6">
        <v>3.504</v>
      </c>
      <c r="O140" s="6">
        <v>3.504</v>
      </c>
      <c r="P140" s="6">
        <v>45</v>
      </c>
      <c r="Q140" s="4" t="s">
        <v>26</v>
      </c>
      <c r="R140" s="4">
        <v>0</v>
      </c>
      <c r="S140" s="4" t="s">
        <v>164</v>
      </c>
      <c r="T140" s="4" t="s">
        <v>289</v>
      </c>
      <c r="U140" s="4">
        <v>0</v>
      </c>
      <c r="V140" s="4">
        <v>40</v>
      </c>
      <c r="W140" s="4">
        <v>27</v>
      </c>
    </row>
    <row r="141" spans="1:2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31</v>
      </c>
      <c r="F141" s="4" t="s">
        <v>25</v>
      </c>
      <c r="G141" s="4" t="s">
        <v>25</v>
      </c>
      <c r="H141" s="4" t="s">
        <v>25</v>
      </c>
      <c r="I141" s="5">
        <v>44409</v>
      </c>
      <c r="J141" s="6">
        <v>0</v>
      </c>
      <c r="K141" s="6">
        <v>0</v>
      </c>
      <c r="L141" s="6">
        <v>3.944</v>
      </c>
      <c r="M141" s="6">
        <v>3.944</v>
      </c>
      <c r="N141" s="6">
        <v>3.944</v>
      </c>
      <c r="O141" s="6">
        <v>3.944</v>
      </c>
      <c r="P141" s="6">
        <v>45</v>
      </c>
      <c r="Q141" s="4" t="s">
        <v>26</v>
      </c>
      <c r="R141" s="4">
        <v>0</v>
      </c>
      <c r="S141" s="4" t="s">
        <v>165</v>
      </c>
      <c r="T141" s="4" t="s">
        <v>290</v>
      </c>
      <c r="U141" s="4">
        <v>0</v>
      </c>
      <c r="V141" s="4">
        <v>40</v>
      </c>
      <c r="W141" s="4">
        <v>27</v>
      </c>
    </row>
    <row r="142" spans="1:23" ht="11.25" customHeight="1" x14ac:dyDescent="0.3">
      <c r="A142" s="4" t="s">
        <v>27</v>
      </c>
      <c r="B142" s="4" t="s">
        <v>22</v>
      </c>
      <c r="C142" s="4" t="s">
        <v>23</v>
      </c>
      <c r="D142" s="4" t="s">
        <v>24</v>
      </c>
      <c r="E142" s="4" t="s">
        <v>31</v>
      </c>
      <c r="F142" s="4" t="s">
        <v>25</v>
      </c>
      <c r="G142" s="4" t="s">
        <v>25</v>
      </c>
      <c r="H142" s="4" t="s">
        <v>25</v>
      </c>
      <c r="I142" s="5">
        <v>44409</v>
      </c>
      <c r="J142" s="6">
        <v>0</v>
      </c>
      <c r="K142" s="6">
        <v>0</v>
      </c>
      <c r="L142" s="6">
        <v>-4.1000000000000002E-2</v>
      </c>
      <c r="M142" s="6">
        <v>-4.1000000000000002E-2</v>
      </c>
      <c r="N142" s="6">
        <v>-4.1000000000000002E-2</v>
      </c>
      <c r="O142" s="6">
        <v>-4.1000000000000002E-2</v>
      </c>
      <c r="P142" s="6">
        <v>0</v>
      </c>
      <c r="Q142" s="4" t="s">
        <v>26</v>
      </c>
      <c r="R142" s="4">
        <v>0</v>
      </c>
      <c r="S142" s="4" t="s">
        <v>165</v>
      </c>
      <c r="T142" s="4" t="s">
        <v>290</v>
      </c>
      <c r="U142" s="4">
        <v>0</v>
      </c>
      <c r="V142" s="4">
        <v>40</v>
      </c>
      <c r="W142" s="4">
        <v>27</v>
      </c>
    </row>
    <row r="143" spans="1:2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31</v>
      </c>
      <c r="F143" s="4" t="s">
        <v>25</v>
      </c>
      <c r="G143" s="4" t="s">
        <v>25</v>
      </c>
      <c r="H143" s="4" t="s">
        <v>25</v>
      </c>
      <c r="I143" s="5">
        <v>44440</v>
      </c>
      <c r="J143" s="6">
        <v>0</v>
      </c>
      <c r="K143" s="6">
        <v>0</v>
      </c>
      <c r="L143" s="6">
        <v>4.8330000000000002</v>
      </c>
      <c r="M143" s="6">
        <v>4.8330000000000002</v>
      </c>
      <c r="N143" s="6">
        <v>4.8330000000000002</v>
      </c>
      <c r="O143" s="6">
        <v>4.8330000000000002</v>
      </c>
      <c r="P143" s="6">
        <v>44</v>
      </c>
      <c r="Q143" s="4" t="s">
        <v>26</v>
      </c>
      <c r="R143" s="4">
        <v>0</v>
      </c>
      <c r="S143" s="4" t="s">
        <v>166</v>
      </c>
      <c r="T143" s="4" t="s">
        <v>291</v>
      </c>
      <c r="U143" s="4">
        <v>0</v>
      </c>
      <c r="V143" s="4">
        <v>40</v>
      </c>
      <c r="W143" s="4">
        <v>27</v>
      </c>
    </row>
    <row r="144" spans="1:2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31</v>
      </c>
      <c r="F144" s="4" t="s">
        <v>25</v>
      </c>
      <c r="G144" s="4" t="s">
        <v>25</v>
      </c>
      <c r="H144" s="4" t="s">
        <v>25</v>
      </c>
      <c r="I144" s="5">
        <v>44470</v>
      </c>
      <c r="J144" s="6">
        <v>0</v>
      </c>
      <c r="K144" s="6">
        <v>0</v>
      </c>
      <c r="L144" s="6">
        <v>4.8239999999999998</v>
      </c>
      <c r="M144" s="6">
        <v>4.8239999999999998</v>
      </c>
      <c r="N144" s="6">
        <v>4.8239999999999998</v>
      </c>
      <c r="O144" s="6">
        <v>4.8239999999999998</v>
      </c>
      <c r="P144" s="6">
        <v>55</v>
      </c>
      <c r="Q144" s="4" t="s">
        <v>26</v>
      </c>
      <c r="R144" s="4">
        <v>0</v>
      </c>
      <c r="S144" s="4" t="s">
        <v>167</v>
      </c>
      <c r="T144" s="4" t="s">
        <v>292</v>
      </c>
      <c r="U144" s="4">
        <v>0</v>
      </c>
      <c r="V144" s="4">
        <v>40</v>
      </c>
      <c r="W144" s="4">
        <v>27</v>
      </c>
    </row>
    <row r="145" spans="1:2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31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0</v>
      </c>
      <c r="K145" s="6">
        <v>0</v>
      </c>
      <c r="L145" s="6">
        <v>4.6840000000000002</v>
      </c>
      <c r="M145" s="6">
        <v>4.6840000000000002</v>
      </c>
      <c r="N145" s="6">
        <v>4.6840000000000002</v>
      </c>
      <c r="O145" s="6">
        <v>4.6840000000000002</v>
      </c>
      <c r="P145" s="6">
        <v>54</v>
      </c>
      <c r="Q145" s="4" t="s">
        <v>26</v>
      </c>
      <c r="R145" s="4">
        <v>0</v>
      </c>
      <c r="S145" s="4" t="s">
        <v>168</v>
      </c>
      <c r="T145" s="4" t="s">
        <v>293</v>
      </c>
      <c r="U145" s="4">
        <v>0</v>
      </c>
      <c r="V145" s="4">
        <v>40</v>
      </c>
      <c r="W145" s="4">
        <v>27</v>
      </c>
    </row>
    <row r="146" spans="1:2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31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5.4850000000000003</v>
      </c>
      <c r="M146" s="6">
        <v>5.4850000000000003</v>
      </c>
      <c r="N146" s="6">
        <v>5.4850000000000003</v>
      </c>
      <c r="O146" s="6">
        <v>5.4850000000000003</v>
      </c>
      <c r="P146" s="6">
        <v>62</v>
      </c>
      <c r="Q146" s="4" t="s">
        <v>26</v>
      </c>
      <c r="R146" s="4">
        <v>0</v>
      </c>
      <c r="S146" s="4" t="s">
        <v>169</v>
      </c>
      <c r="T146" s="4" t="s">
        <v>294</v>
      </c>
      <c r="U146" s="4">
        <v>0</v>
      </c>
      <c r="V146" s="4">
        <v>40</v>
      </c>
      <c r="W146" s="4">
        <v>27</v>
      </c>
    </row>
    <row r="147" spans="1:23" ht="11.25" customHeight="1" x14ac:dyDescent="0.3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31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-5.1999999999999998E-2</v>
      </c>
      <c r="M147" s="6">
        <v>-5.1999999999999998E-2</v>
      </c>
      <c r="N147" s="6">
        <v>-5.1999999999999998E-2</v>
      </c>
      <c r="O147" s="6">
        <v>-5.1999999999999998E-2</v>
      </c>
      <c r="P147" s="6">
        <v>0</v>
      </c>
      <c r="Q147" s="4" t="s">
        <v>26</v>
      </c>
      <c r="R147" s="4">
        <v>0</v>
      </c>
      <c r="S147" s="4" t="s">
        <v>169</v>
      </c>
      <c r="T147" s="4" t="s">
        <v>294</v>
      </c>
      <c r="U147" s="4">
        <v>0</v>
      </c>
      <c r="V147" s="4">
        <v>40</v>
      </c>
      <c r="W147" s="4">
        <v>27</v>
      </c>
    </row>
    <row r="148" spans="1:2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31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6.1559999999999997</v>
      </c>
      <c r="M148" s="6">
        <v>6.1559999999999997</v>
      </c>
      <c r="N148" s="6">
        <v>6.1559999999999997</v>
      </c>
      <c r="O148" s="6">
        <v>6.1559999999999997</v>
      </c>
      <c r="P148" s="6">
        <v>70</v>
      </c>
      <c r="Q148" s="4" t="s">
        <v>26</v>
      </c>
      <c r="R148" s="4">
        <v>0</v>
      </c>
      <c r="S148" s="4" t="s">
        <v>170</v>
      </c>
      <c r="T148" s="4" t="s">
        <v>295</v>
      </c>
      <c r="U148" s="4">
        <v>0</v>
      </c>
      <c r="V148" s="4">
        <v>40</v>
      </c>
      <c r="W148" s="4">
        <v>27</v>
      </c>
    </row>
    <row r="149" spans="1:23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31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6.8220000000000001</v>
      </c>
      <c r="M149" s="6">
        <v>6.8220000000000001</v>
      </c>
      <c r="N149" s="6">
        <v>6.8220000000000001</v>
      </c>
      <c r="O149" s="6">
        <v>6.8220000000000001</v>
      </c>
      <c r="P149" s="6">
        <v>72</v>
      </c>
      <c r="Q149" s="4" t="s">
        <v>26</v>
      </c>
      <c r="R149" s="4">
        <v>0</v>
      </c>
      <c r="S149" s="4" t="s">
        <v>171</v>
      </c>
      <c r="T149" s="4" t="s">
        <v>296</v>
      </c>
      <c r="U149" s="4">
        <v>0</v>
      </c>
      <c r="V149" s="4">
        <v>40</v>
      </c>
      <c r="W149" s="4">
        <v>27</v>
      </c>
    </row>
    <row r="150" spans="1:2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31</v>
      </c>
      <c r="F150" s="4" t="s">
        <v>25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12.817</v>
      </c>
      <c r="M150" s="6">
        <v>12.817</v>
      </c>
      <c r="N150" s="6">
        <v>12.817</v>
      </c>
      <c r="O150" s="6">
        <v>12.817</v>
      </c>
      <c r="P150" s="6">
        <v>145</v>
      </c>
      <c r="Q150" s="4" t="s">
        <v>26</v>
      </c>
      <c r="R150" s="4">
        <v>0</v>
      </c>
      <c r="S150" s="4" t="s">
        <v>172</v>
      </c>
      <c r="T150" s="4" t="s">
        <v>297</v>
      </c>
      <c r="U150" s="4">
        <v>0</v>
      </c>
      <c r="V150" s="4">
        <v>40</v>
      </c>
      <c r="W150" s="4">
        <v>27</v>
      </c>
    </row>
    <row r="151" spans="1:2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32</v>
      </c>
      <c r="F151" s="4" t="s">
        <v>25</v>
      </c>
      <c r="G151" s="4" t="s">
        <v>25</v>
      </c>
      <c r="H151" s="4" t="s">
        <v>25</v>
      </c>
      <c r="I151" s="5">
        <v>44287</v>
      </c>
      <c r="J151" s="6">
        <v>0</v>
      </c>
      <c r="K151" s="6">
        <v>0</v>
      </c>
      <c r="L151" s="6">
        <v>1.7529999999999999</v>
      </c>
      <c r="M151" s="6">
        <v>1.7529999999999999</v>
      </c>
      <c r="N151" s="6">
        <v>1.7529999999999999</v>
      </c>
      <c r="O151" s="6">
        <v>1.7529999999999999</v>
      </c>
      <c r="P151" s="6">
        <v>14</v>
      </c>
      <c r="Q151" s="4" t="s">
        <v>26</v>
      </c>
      <c r="R151" s="4">
        <v>0</v>
      </c>
      <c r="S151" s="4" t="s">
        <v>173</v>
      </c>
      <c r="T151" s="4" t="s">
        <v>298</v>
      </c>
      <c r="U151" s="4">
        <v>0</v>
      </c>
      <c r="V151" s="4">
        <v>41</v>
      </c>
      <c r="W151" s="4">
        <v>28</v>
      </c>
    </row>
    <row r="152" spans="1:2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32</v>
      </c>
      <c r="F152" s="4" t="s">
        <v>25</v>
      </c>
      <c r="G152" s="4" t="s">
        <v>25</v>
      </c>
      <c r="H152" s="4" t="s">
        <v>25</v>
      </c>
      <c r="I152" s="5">
        <v>44317</v>
      </c>
      <c r="J152" s="6">
        <v>0</v>
      </c>
      <c r="K152" s="6">
        <v>0</v>
      </c>
      <c r="L152" s="6">
        <v>1.304</v>
      </c>
      <c r="M152" s="6">
        <v>1.304</v>
      </c>
      <c r="N152" s="6">
        <v>1.304</v>
      </c>
      <c r="O152" s="6">
        <v>1.304</v>
      </c>
      <c r="P152" s="6">
        <v>10</v>
      </c>
      <c r="Q152" s="4" t="s">
        <v>26</v>
      </c>
      <c r="R152" s="4">
        <v>0</v>
      </c>
      <c r="S152" s="4" t="s">
        <v>174</v>
      </c>
      <c r="T152" s="4" t="s">
        <v>299</v>
      </c>
      <c r="U152" s="4">
        <v>0</v>
      </c>
      <c r="V152" s="4">
        <v>41</v>
      </c>
      <c r="W152" s="4">
        <v>28</v>
      </c>
    </row>
    <row r="153" spans="1:2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32</v>
      </c>
      <c r="F153" s="4" t="s">
        <v>25</v>
      </c>
      <c r="G153" s="4" t="s">
        <v>25</v>
      </c>
      <c r="H153" s="4" t="s">
        <v>25</v>
      </c>
      <c r="I153" s="5">
        <v>44348</v>
      </c>
      <c r="J153" s="6">
        <v>0</v>
      </c>
      <c r="K153" s="6">
        <v>0</v>
      </c>
      <c r="L153" s="6">
        <v>1.218</v>
      </c>
      <c r="M153" s="6">
        <v>1.218</v>
      </c>
      <c r="N153" s="6">
        <v>1.218</v>
      </c>
      <c r="O153" s="6">
        <v>1.218</v>
      </c>
      <c r="P153" s="6">
        <v>8</v>
      </c>
      <c r="Q153" s="4" t="s">
        <v>26</v>
      </c>
      <c r="R153" s="4">
        <v>0</v>
      </c>
      <c r="S153" s="4" t="s">
        <v>175</v>
      </c>
      <c r="T153" s="4" t="s">
        <v>300</v>
      </c>
      <c r="U153" s="4">
        <v>0</v>
      </c>
      <c r="V153" s="4">
        <v>41</v>
      </c>
      <c r="W153" s="4">
        <v>28</v>
      </c>
    </row>
    <row r="154" spans="1:2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32</v>
      </c>
      <c r="F154" s="4" t="s">
        <v>25</v>
      </c>
      <c r="G154" s="4" t="s">
        <v>25</v>
      </c>
      <c r="H154" s="4" t="s">
        <v>25</v>
      </c>
      <c r="I154" s="5">
        <v>44378</v>
      </c>
      <c r="J154" s="6">
        <v>0</v>
      </c>
      <c r="K154" s="6">
        <v>0</v>
      </c>
      <c r="L154" s="6">
        <v>1.37</v>
      </c>
      <c r="M154" s="6">
        <v>1.37</v>
      </c>
      <c r="N154" s="6">
        <v>1.37</v>
      </c>
      <c r="O154" s="6">
        <v>1.37</v>
      </c>
      <c r="P154" s="6">
        <v>11</v>
      </c>
      <c r="Q154" s="4" t="s">
        <v>26</v>
      </c>
      <c r="R154" s="4">
        <v>0</v>
      </c>
      <c r="S154" s="4" t="s">
        <v>176</v>
      </c>
      <c r="T154" s="4" t="s">
        <v>301</v>
      </c>
      <c r="U154" s="4">
        <v>0</v>
      </c>
      <c r="V154" s="4">
        <v>41</v>
      </c>
      <c r="W154" s="4">
        <v>28</v>
      </c>
    </row>
    <row r="155" spans="1:2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32</v>
      </c>
      <c r="F155" s="4" t="s">
        <v>25</v>
      </c>
      <c r="G155" s="4" t="s">
        <v>25</v>
      </c>
      <c r="H155" s="4" t="s">
        <v>25</v>
      </c>
      <c r="I155" s="5">
        <v>44409</v>
      </c>
      <c r="J155" s="6">
        <v>0</v>
      </c>
      <c r="K155" s="6">
        <v>0</v>
      </c>
      <c r="L155" s="6">
        <v>1.6919999999999999</v>
      </c>
      <c r="M155" s="6">
        <v>1.6919999999999999</v>
      </c>
      <c r="N155" s="6">
        <v>1.6919999999999999</v>
      </c>
      <c r="O155" s="6">
        <v>1.6919999999999999</v>
      </c>
      <c r="P155" s="6">
        <v>13</v>
      </c>
      <c r="Q155" s="4" t="s">
        <v>26</v>
      </c>
      <c r="R155" s="4">
        <v>0</v>
      </c>
      <c r="S155" s="4" t="s">
        <v>177</v>
      </c>
      <c r="T155" s="4" t="s">
        <v>302</v>
      </c>
      <c r="U155" s="4">
        <v>0</v>
      </c>
      <c r="V155" s="4">
        <v>41</v>
      </c>
      <c r="W155" s="4">
        <v>28</v>
      </c>
    </row>
    <row r="156" spans="1:2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32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1.6379999999999999</v>
      </c>
      <c r="M156" s="6">
        <v>1.6379999999999999</v>
      </c>
      <c r="N156" s="6">
        <v>1.6379999999999999</v>
      </c>
      <c r="O156" s="6">
        <v>1.6379999999999999</v>
      </c>
      <c r="P156" s="6">
        <v>20</v>
      </c>
      <c r="Q156" s="4" t="s">
        <v>26</v>
      </c>
      <c r="R156" s="4">
        <v>0</v>
      </c>
      <c r="S156" s="4" t="s">
        <v>178</v>
      </c>
      <c r="T156" s="4" t="s">
        <v>303</v>
      </c>
      <c r="U156" s="4">
        <v>0</v>
      </c>
      <c r="V156" s="4">
        <v>41</v>
      </c>
      <c r="W156" s="4">
        <v>28</v>
      </c>
    </row>
    <row r="157" spans="1:2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32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1.7350000000000001</v>
      </c>
      <c r="M157" s="6">
        <v>1.7350000000000001</v>
      </c>
      <c r="N157" s="6">
        <v>1.7350000000000001</v>
      </c>
      <c r="O157" s="6">
        <v>1.7350000000000001</v>
      </c>
      <c r="P157" s="6">
        <v>16</v>
      </c>
      <c r="Q157" s="4" t="s">
        <v>26</v>
      </c>
      <c r="R157" s="4">
        <v>0</v>
      </c>
      <c r="S157" s="4" t="s">
        <v>179</v>
      </c>
      <c r="T157" s="4" t="s">
        <v>304</v>
      </c>
      <c r="U157" s="4">
        <v>0</v>
      </c>
      <c r="V157" s="4">
        <v>41</v>
      </c>
      <c r="W157" s="4">
        <v>28</v>
      </c>
    </row>
    <row r="158" spans="1:2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32</v>
      </c>
      <c r="F158" s="4" t="s">
        <v>25</v>
      </c>
      <c r="G158" s="4" t="s">
        <v>25</v>
      </c>
      <c r="H158" s="4" t="s">
        <v>25</v>
      </c>
      <c r="I158" s="5">
        <v>44501</v>
      </c>
      <c r="J158" s="6">
        <v>0</v>
      </c>
      <c r="K158" s="6">
        <v>0</v>
      </c>
      <c r="L158" s="6">
        <v>1.452</v>
      </c>
      <c r="M158" s="6">
        <v>1.452</v>
      </c>
      <c r="N158" s="6">
        <v>1.452</v>
      </c>
      <c r="O158" s="6">
        <v>1.452</v>
      </c>
      <c r="P158" s="6">
        <v>17</v>
      </c>
      <c r="Q158" s="4" t="s">
        <v>26</v>
      </c>
      <c r="R158" s="4">
        <v>0</v>
      </c>
      <c r="S158" s="4" t="s">
        <v>180</v>
      </c>
      <c r="T158" s="4" t="s">
        <v>305</v>
      </c>
      <c r="U158" s="4">
        <v>0</v>
      </c>
      <c r="V158" s="4">
        <v>41</v>
      </c>
      <c r="W158" s="4">
        <v>28</v>
      </c>
    </row>
    <row r="159" spans="1:2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32</v>
      </c>
      <c r="F159" s="4" t="s">
        <v>25</v>
      </c>
      <c r="G159" s="4" t="s">
        <v>25</v>
      </c>
      <c r="H159" s="4" t="s">
        <v>25</v>
      </c>
      <c r="I159" s="5">
        <v>44531</v>
      </c>
      <c r="J159" s="6">
        <v>0</v>
      </c>
      <c r="K159" s="6">
        <v>0</v>
      </c>
      <c r="L159" s="6">
        <v>1.7949999999999999</v>
      </c>
      <c r="M159" s="6">
        <v>1.7949999999999999</v>
      </c>
      <c r="N159" s="6">
        <v>1.7949999999999999</v>
      </c>
      <c r="O159" s="6">
        <v>1.7949999999999999</v>
      </c>
      <c r="P159" s="6">
        <v>19</v>
      </c>
      <c r="Q159" s="4" t="s">
        <v>26</v>
      </c>
      <c r="R159" s="4">
        <v>0</v>
      </c>
      <c r="S159" s="4" t="s">
        <v>181</v>
      </c>
      <c r="T159" s="4" t="s">
        <v>306</v>
      </c>
      <c r="U159" s="4">
        <v>0</v>
      </c>
      <c r="V159" s="4">
        <v>41</v>
      </c>
      <c r="W159" s="4">
        <v>28</v>
      </c>
    </row>
    <row r="160" spans="1:2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32</v>
      </c>
      <c r="F160" s="4" t="s">
        <v>25</v>
      </c>
      <c r="G160" s="4" t="s">
        <v>25</v>
      </c>
      <c r="H160" s="4" t="s">
        <v>25</v>
      </c>
      <c r="I160" s="5">
        <v>44562</v>
      </c>
      <c r="J160" s="6">
        <v>0</v>
      </c>
      <c r="K160" s="6">
        <v>0</v>
      </c>
      <c r="L160" s="6">
        <v>2.1150000000000002</v>
      </c>
      <c r="M160" s="6">
        <v>2.1150000000000002</v>
      </c>
      <c r="N160" s="6">
        <v>2.1150000000000002</v>
      </c>
      <c r="O160" s="6">
        <v>2.1150000000000002</v>
      </c>
      <c r="P160" s="6">
        <v>18</v>
      </c>
      <c r="Q160" s="4" t="s">
        <v>26</v>
      </c>
      <c r="R160" s="4">
        <v>0</v>
      </c>
      <c r="S160" s="4" t="s">
        <v>182</v>
      </c>
      <c r="T160" s="4" t="s">
        <v>307</v>
      </c>
      <c r="U160" s="4">
        <v>0</v>
      </c>
      <c r="V160" s="4">
        <v>41</v>
      </c>
      <c r="W160" s="4">
        <v>28</v>
      </c>
    </row>
    <row r="161" spans="1:2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32</v>
      </c>
      <c r="F161" s="4" t="s">
        <v>25</v>
      </c>
      <c r="G161" s="4" t="s">
        <v>25</v>
      </c>
      <c r="H161" s="4" t="s">
        <v>25</v>
      </c>
      <c r="I161" s="5">
        <v>44593</v>
      </c>
      <c r="J161" s="6">
        <v>0</v>
      </c>
      <c r="K161" s="6">
        <v>0</v>
      </c>
      <c r="L161" s="6">
        <v>2.5640000000000001</v>
      </c>
      <c r="M161" s="6">
        <v>2.5640000000000001</v>
      </c>
      <c r="N161" s="6">
        <v>2.5640000000000001</v>
      </c>
      <c r="O161" s="6">
        <v>2.5640000000000001</v>
      </c>
      <c r="P161" s="6">
        <v>26</v>
      </c>
      <c r="Q161" s="4" t="s">
        <v>26</v>
      </c>
      <c r="R161" s="4">
        <v>0</v>
      </c>
      <c r="S161" s="4" t="s">
        <v>183</v>
      </c>
      <c r="T161" s="4" t="s">
        <v>308</v>
      </c>
      <c r="U161" s="4">
        <v>0</v>
      </c>
      <c r="V161" s="4">
        <v>41</v>
      </c>
      <c r="W161" s="4">
        <v>28</v>
      </c>
    </row>
    <row r="162" spans="1:23" ht="11.25" customHeight="1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32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4.2779999999999996</v>
      </c>
      <c r="M162" s="6">
        <v>4.2779999999999996</v>
      </c>
      <c r="N162" s="6">
        <v>4.2779999999999996</v>
      </c>
      <c r="O162" s="6">
        <v>4.2779999999999996</v>
      </c>
      <c r="P162" s="6">
        <v>45</v>
      </c>
      <c r="Q162" s="4" t="s">
        <v>26</v>
      </c>
      <c r="R162" s="4">
        <v>0</v>
      </c>
      <c r="S162" s="4" t="s">
        <v>184</v>
      </c>
      <c r="T162" s="4" t="s">
        <v>309</v>
      </c>
      <c r="U162" s="4">
        <v>0</v>
      </c>
      <c r="V162" s="4">
        <v>41</v>
      </c>
      <c r="W162" s="4">
        <v>28</v>
      </c>
    </row>
    <row r="163" spans="1:23" ht="11.25" customHeight="1" x14ac:dyDescent="0.3">
      <c r="A163" s="4" t="s">
        <v>21</v>
      </c>
      <c r="B163" s="4" t="s">
        <v>40</v>
      </c>
      <c r="C163" s="4" t="s">
        <v>23</v>
      </c>
      <c r="D163" s="4" t="s">
        <v>41</v>
      </c>
      <c r="E163" s="4" t="s">
        <v>49</v>
      </c>
      <c r="F163" s="4" t="s">
        <v>50</v>
      </c>
      <c r="G163" s="4" t="s">
        <v>25</v>
      </c>
      <c r="H163" s="4" t="s">
        <v>25</v>
      </c>
      <c r="I163" s="5">
        <v>44287</v>
      </c>
      <c r="J163" s="6">
        <v>0</v>
      </c>
      <c r="K163" s="6">
        <v>0</v>
      </c>
      <c r="L163" s="6">
        <v>0.05</v>
      </c>
      <c r="M163" s="6">
        <v>0.05</v>
      </c>
      <c r="N163" s="6">
        <v>0.05</v>
      </c>
      <c r="O163" s="6">
        <v>0.05</v>
      </c>
      <c r="P163" s="6">
        <v>0</v>
      </c>
      <c r="Q163" s="4" t="s">
        <v>26</v>
      </c>
      <c r="R163" s="4">
        <v>0</v>
      </c>
      <c r="S163" s="4" t="s">
        <v>185</v>
      </c>
      <c r="T163" s="4" t="s">
        <v>310</v>
      </c>
      <c r="U163" s="4">
        <v>0</v>
      </c>
      <c r="V163" s="4">
        <v>64</v>
      </c>
      <c r="W163" s="4">
        <v>21</v>
      </c>
    </row>
    <row r="164" spans="1:23" ht="11.25" customHeight="1" x14ac:dyDescent="0.3">
      <c r="A164" s="4" t="s">
        <v>21</v>
      </c>
      <c r="B164" s="4" t="s">
        <v>40</v>
      </c>
      <c r="C164" s="4" t="s">
        <v>23</v>
      </c>
      <c r="D164" s="4" t="s">
        <v>41</v>
      </c>
      <c r="E164" s="4" t="s">
        <v>49</v>
      </c>
      <c r="F164" s="4" t="s">
        <v>50</v>
      </c>
      <c r="G164" s="4" t="s">
        <v>25</v>
      </c>
      <c r="H164" s="4" t="s">
        <v>25</v>
      </c>
      <c r="I164" s="5">
        <v>44317</v>
      </c>
      <c r="J164" s="6">
        <v>0</v>
      </c>
      <c r="K164" s="6">
        <v>0</v>
      </c>
      <c r="L164" s="6">
        <v>0.06</v>
      </c>
      <c r="M164" s="6">
        <v>0.06</v>
      </c>
      <c r="N164" s="6">
        <v>0.06</v>
      </c>
      <c r="O164" s="6">
        <v>0.06</v>
      </c>
      <c r="P164" s="6">
        <v>0</v>
      </c>
      <c r="Q164" s="4" t="s">
        <v>26</v>
      </c>
      <c r="R164" s="4">
        <v>0</v>
      </c>
      <c r="S164" s="4" t="s">
        <v>186</v>
      </c>
      <c r="T164" s="4" t="s">
        <v>311</v>
      </c>
      <c r="U164" s="4">
        <v>0</v>
      </c>
      <c r="V164" s="4">
        <v>64</v>
      </c>
      <c r="W164" s="4">
        <v>21</v>
      </c>
    </row>
    <row r="165" spans="1:23" ht="11.25" customHeight="1" x14ac:dyDescent="0.3">
      <c r="A165" s="4" t="s">
        <v>21</v>
      </c>
      <c r="B165" s="4" t="s">
        <v>40</v>
      </c>
      <c r="C165" s="4" t="s">
        <v>23</v>
      </c>
      <c r="D165" s="4" t="s">
        <v>41</v>
      </c>
      <c r="E165" s="4" t="s">
        <v>49</v>
      </c>
      <c r="F165" s="4" t="s">
        <v>50</v>
      </c>
      <c r="G165" s="4" t="s">
        <v>25</v>
      </c>
      <c r="H165" s="4" t="s">
        <v>25</v>
      </c>
      <c r="I165" s="5">
        <v>44348</v>
      </c>
      <c r="J165" s="6">
        <v>0</v>
      </c>
      <c r="K165" s="6">
        <v>0</v>
      </c>
      <c r="L165" s="6">
        <v>0.05</v>
      </c>
      <c r="M165" s="6">
        <v>0.05</v>
      </c>
      <c r="N165" s="6">
        <v>0.05</v>
      </c>
      <c r="O165" s="6">
        <v>0.05</v>
      </c>
      <c r="P165" s="6">
        <v>0</v>
      </c>
      <c r="Q165" s="4" t="s">
        <v>26</v>
      </c>
      <c r="R165" s="4">
        <v>0</v>
      </c>
      <c r="S165" s="4" t="s">
        <v>187</v>
      </c>
      <c r="T165" s="4" t="s">
        <v>312</v>
      </c>
      <c r="U165" s="4">
        <v>0</v>
      </c>
      <c r="V165" s="4">
        <v>64</v>
      </c>
      <c r="W165" s="4">
        <v>21</v>
      </c>
    </row>
    <row r="166" spans="1:23" ht="11.25" customHeight="1" x14ac:dyDescent="0.3">
      <c r="A166" s="4" t="s">
        <v>21</v>
      </c>
      <c r="B166" s="4" t="s">
        <v>40</v>
      </c>
      <c r="C166" s="4" t="s">
        <v>23</v>
      </c>
      <c r="D166" s="4" t="s">
        <v>41</v>
      </c>
      <c r="E166" s="4" t="s">
        <v>49</v>
      </c>
      <c r="F166" s="4" t="s">
        <v>50</v>
      </c>
      <c r="G166" s="4" t="s">
        <v>25</v>
      </c>
      <c r="H166" s="4" t="s">
        <v>25</v>
      </c>
      <c r="I166" s="5">
        <v>44378</v>
      </c>
      <c r="J166" s="6">
        <v>0</v>
      </c>
      <c r="K166" s="6">
        <v>0</v>
      </c>
      <c r="L166" s="6">
        <v>0.05</v>
      </c>
      <c r="M166" s="6">
        <v>0.05</v>
      </c>
      <c r="N166" s="6">
        <v>0.05</v>
      </c>
      <c r="O166" s="6">
        <v>0.05</v>
      </c>
      <c r="P166" s="6">
        <v>0</v>
      </c>
      <c r="Q166" s="4" t="s">
        <v>26</v>
      </c>
      <c r="R166" s="4">
        <v>0</v>
      </c>
      <c r="S166" s="4" t="s">
        <v>188</v>
      </c>
      <c r="T166" s="4" t="s">
        <v>313</v>
      </c>
      <c r="U166" s="4">
        <v>0</v>
      </c>
      <c r="V166" s="4">
        <v>64</v>
      </c>
      <c r="W166" s="4">
        <v>21</v>
      </c>
    </row>
    <row r="167" spans="1:23" ht="11.25" customHeight="1" x14ac:dyDescent="0.3">
      <c r="A167" s="4" t="s">
        <v>21</v>
      </c>
      <c r="B167" s="4" t="s">
        <v>40</v>
      </c>
      <c r="C167" s="4" t="s">
        <v>23</v>
      </c>
      <c r="D167" s="4" t="s">
        <v>41</v>
      </c>
      <c r="E167" s="4" t="s">
        <v>49</v>
      </c>
      <c r="F167" s="4" t="s">
        <v>50</v>
      </c>
      <c r="G167" s="4" t="s">
        <v>25</v>
      </c>
      <c r="H167" s="4" t="s">
        <v>25</v>
      </c>
      <c r="I167" s="5">
        <v>44409</v>
      </c>
      <c r="J167" s="6">
        <v>0</v>
      </c>
      <c r="K167" s="6">
        <v>0</v>
      </c>
      <c r="L167" s="6">
        <v>0.17299999999999999</v>
      </c>
      <c r="M167" s="6">
        <v>0.17299999999999999</v>
      </c>
      <c r="N167" s="6">
        <v>0.17299999999999999</v>
      </c>
      <c r="O167" s="6">
        <v>0.17299999999999999</v>
      </c>
      <c r="P167" s="6">
        <v>0</v>
      </c>
      <c r="Q167" s="4" t="s">
        <v>26</v>
      </c>
      <c r="R167" s="4">
        <v>0</v>
      </c>
      <c r="S167" s="4" t="s">
        <v>189</v>
      </c>
      <c r="T167" s="4" t="s">
        <v>314</v>
      </c>
      <c r="U167" s="4">
        <v>0</v>
      </c>
      <c r="V167" s="4">
        <v>64</v>
      </c>
      <c r="W167" s="4">
        <v>21</v>
      </c>
    </row>
    <row r="168" spans="1:23" ht="11.25" customHeight="1" x14ac:dyDescent="0.3">
      <c r="A168" s="4" t="s">
        <v>21</v>
      </c>
      <c r="B168" s="4" t="s">
        <v>40</v>
      </c>
      <c r="C168" s="4" t="s">
        <v>23</v>
      </c>
      <c r="D168" s="4" t="s">
        <v>41</v>
      </c>
      <c r="E168" s="4" t="s">
        <v>49</v>
      </c>
      <c r="F168" s="4" t="s">
        <v>50</v>
      </c>
      <c r="G168" s="4" t="s">
        <v>25</v>
      </c>
      <c r="H168" s="4" t="s">
        <v>25</v>
      </c>
      <c r="I168" s="5">
        <v>44440</v>
      </c>
      <c r="J168" s="6">
        <v>0</v>
      </c>
      <c r="K168" s="6">
        <v>0</v>
      </c>
      <c r="L168" s="6">
        <v>0.127</v>
      </c>
      <c r="M168" s="6">
        <v>0.127</v>
      </c>
      <c r="N168" s="6">
        <v>0.127</v>
      </c>
      <c r="O168" s="6">
        <v>0.127</v>
      </c>
      <c r="P168" s="6">
        <v>0</v>
      </c>
      <c r="Q168" s="4" t="s">
        <v>26</v>
      </c>
      <c r="R168" s="4">
        <v>0</v>
      </c>
      <c r="S168" s="4" t="s">
        <v>190</v>
      </c>
      <c r="T168" s="4" t="s">
        <v>315</v>
      </c>
      <c r="U168" s="4">
        <v>0</v>
      </c>
      <c r="V168" s="4">
        <v>64</v>
      </c>
      <c r="W168" s="4">
        <v>21</v>
      </c>
    </row>
    <row r="169" spans="1:23" ht="11.25" customHeight="1" x14ac:dyDescent="0.3">
      <c r="A169" s="4" t="s">
        <v>21</v>
      </c>
      <c r="B169" s="4" t="s">
        <v>40</v>
      </c>
      <c r="C169" s="4" t="s">
        <v>23</v>
      </c>
      <c r="D169" s="4" t="s">
        <v>41</v>
      </c>
      <c r="E169" s="4" t="s">
        <v>49</v>
      </c>
      <c r="F169" s="4" t="s">
        <v>50</v>
      </c>
      <c r="G169" s="4" t="s">
        <v>25</v>
      </c>
      <c r="H169" s="4" t="s">
        <v>25</v>
      </c>
      <c r="I169" s="5">
        <v>44470</v>
      </c>
      <c r="J169" s="6">
        <v>0</v>
      </c>
      <c r="K169" s="6">
        <v>0</v>
      </c>
      <c r="L169" s="6">
        <v>0.05</v>
      </c>
      <c r="M169" s="6">
        <v>0.05</v>
      </c>
      <c r="N169" s="6">
        <v>0.05</v>
      </c>
      <c r="O169" s="6">
        <v>0.05</v>
      </c>
      <c r="P169" s="6">
        <v>0</v>
      </c>
      <c r="Q169" s="4" t="s">
        <v>26</v>
      </c>
      <c r="R169" s="4">
        <v>0</v>
      </c>
      <c r="S169" s="4" t="s">
        <v>191</v>
      </c>
      <c r="T169" s="4" t="s">
        <v>316</v>
      </c>
      <c r="U169" s="4">
        <v>0</v>
      </c>
      <c r="V169" s="4">
        <v>64</v>
      </c>
      <c r="W169" s="4">
        <v>21</v>
      </c>
    </row>
    <row r="170" spans="1:23" ht="11.25" customHeight="1" x14ac:dyDescent="0.3">
      <c r="A170" s="4" t="s">
        <v>21</v>
      </c>
      <c r="B170" s="4" t="s">
        <v>40</v>
      </c>
      <c r="C170" s="4" t="s">
        <v>23</v>
      </c>
      <c r="D170" s="4" t="s">
        <v>41</v>
      </c>
      <c r="E170" s="4" t="s">
        <v>49</v>
      </c>
      <c r="F170" s="4" t="s">
        <v>50</v>
      </c>
      <c r="G170" s="4" t="s">
        <v>25</v>
      </c>
      <c r="H170" s="4" t="s">
        <v>25</v>
      </c>
      <c r="I170" s="5">
        <v>44501</v>
      </c>
      <c r="J170" s="6">
        <v>0</v>
      </c>
      <c r="K170" s="6">
        <v>0</v>
      </c>
      <c r="L170" s="6">
        <v>0.05</v>
      </c>
      <c r="M170" s="6">
        <v>0.05</v>
      </c>
      <c r="N170" s="6">
        <v>0.05</v>
      </c>
      <c r="O170" s="6">
        <v>0.05</v>
      </c>
      <c r="P170" s="6">
        <v>0</v>
      </c>
      <c r="Q170" s="4" t="s">
        <v>26</v>
      </c>
      <c r="R170" s="4">
        <v>0</v>
      </c>
      <c r="S170" s="4" t="s">
        <v>192</v>
      </c>
      <c r="T170" s="4" t="s">
        <v>317</v>
      </c>
      <c r="U170" s="4">
        <v>0</v>
      </c>
      <c r="V170" s="4">
        <v>64</v>
      </c>
      <c r="W170" s="4">
        <v>21</v>
      </c>
    </row>
    <row r="171" spans="1:23" ht="11.25" customHeight="1" x14ac:dyDescent="0.3">
      <c r="A171" s="4" t="s">
        <v>21</v>
      </c>
      <c r="B171" s="4" t="s">
        <v>40</v>
      </c>
      <c r="C171" s="4" t="s">
        <v>23</v>
      </c>
      <c r="D171" s="4" t="s">
        <v>41</v>
      </c>
      <c r="E171" s="4" t="s">
        <v>49</v>
      </c>
      <c r="F171" s="4" t="s">
        <v>50</v>
      </c>
      <c r="G171" s="4" t="s">
        <v>25</v>
      </c>
      <c r="H171" s="4" t="s">
        <v>25</v>
      </c>
      <c r="I171" s="5">
        <v>44531</v>
      </c>
      <c r="J171" s="6">
        <v>0</v>
      </c>
      <c r="K171" s="6">
        <v>0</v>
      </c>
      <c r="L171" s="6">
        <v>0.05</v>
      </c>
      <c r="M171" s="6">
        <v>0.05</v>
      </c>
      <c r="N171" s="6">
        <v>0.05</v>
      </c>
      <c r="O171" s="6">
        <v>0.05</v>
      </c>
      <c r="P171" s="6">
        <v>0</v>
      </c>
      <c r="Q171" s="4" t="s">
        <v>26</v>
      </c>
      <c r="R171" s="4">
        <v>0</v>
      </c>
      <c r="S171" s="4" t="s">
        <v>193</v>
      </c>
      <c r="T171" s="4" t="s">
        <v>318</v>
      </c>
      <c r="U171" s="4">
        <v>0</v>
      </c>
      <c r="V171" s="4">
        <v>64</v>
      </c>
      <c r="W171" s="4">
        <v>21</v>
      </c>
    </row>
    <row r="172" spans="1:23" ht="11.25" customHeight="1" x14ac:dyDescent="0.3">
      <c r="A172" s="4" t="s">
        <v>21</v>
      </c>
      <c r="B172" s="4" t="s">
        <v>40</v>
      </c>
      <c r="C172" s="4" t="s">
        <v>23</v>
      </c>
      <c r="D172" s="4" t="s">
        <v>41</v>
      </c>
      <c r="E172" s="4" t="s">
        <v>49</v>
      </c>
      <c r="F172" s="4" t="s">
        <v>50</v>
      </c>
      <c r="G172" s="4" t="s">
        <v>25</v>
      </c>
      <c r="H172" s="4" t="s">
        <v>25</v>
      </c>
      <c r="I172" s="5">
        <v>44562</v>
      </c>
      <c r="J172" s="6">
        <v>0</v>
      </c>
      <c r="K172" s="6">
        <v>0</v>
      </c>
      <c r="L172" s="6">
        <v>0.05</v>
      </c>
      <c r="M172" s="6">
        <v>0.05</v>
      </c>
      <c r="N172" s="6">
        <v>0.05</v>
      </c>
      <c r="O172" s="6">
        <v>0.05</v>
      </c>
      <c r="P172" s="6">
        <v>0</v>
      </c>
      <c r="Q172" s="4" t="s">
        <v>26</v>
      </c>
      <c r="R172" s="4">
        <v>0</v>
      </c>
      <c r="S172" s="4" t="s">
        <v>194</v>
      </c>
      <c r="T172" s="4" t="s">
        <v>319</v>
      </c>
      <c r="U172" s="4">
        <v>0</v>
      </c>
      <c r="V172" s="4">
        <v>64</v>
      </c>
      <c r="W172" s="4">
        <v>21</v>
      </c>
    </row>
    <row r="173" spans="1:23" ht="11.25" customHeight="1" x14ac:dyDescent="0.3">
      <c r="A173" s="4" t="s">
        <v>21</v>
      </c>
      <c r="B173" s="4" t="s">
        <v>40</v>
      </c>
      <c r="C173" s="4" t="s">
        <v>23</v>
      </c>
      <c r="D173" s="4" t="s">
        <v>41</v>
      </c>
      <c r="E173" s="4" t="s">
        <v>49</v>
      </c>
      <c r="F173" s="4" t="s">
        <v>50</v>
      </c>
      <c r="G173" s="4" t="s">
        <v>25</v>
      </c>
      <c r="H173" s="4" t="s">
        <v>25</v>
      </c>
      <c r="I173" s="5">
        <v>44593</v>
      </c>
      <c r="J173" s="6">
        <v>0</v>
      </c>
      <c r="K173" s="6">
        <v>0</v>
      </c>
      <c r="L173" s="6">
        <v>0.05</v>
      </c>
      <c r="M173" s="6">
        <v>0.05</v>
      </c>
      <c r="N173" s="6">
        <v>0.05</v>
      </c>
      <c r="O173" s="6">
        <v>0.05</v>
      </c>
      <c r="P173" s="6">
        <v>0</v>
      </c>
      <c r="Q173" s="4" t="s">
        <v>26</v>
      </c>
      <c r="R173" s="4">
        <v>0</v>
      </c>
      <c r="S173" s="4" t="s">
        <v>195</v>
      </c>
      <c r="T173" s="4" t="s">
        <v>320</v>
      </c>
      <c r="U173" s="4">
        <v>0</v>
      </c>
      <c r="V173" s="4">
        <v>64</v>
      </c>
      <c r="W173" s="4">
        <v>21</v>
      </c>
    </row>
    <row r="174" spans="1:23" ht="11.25" customHeight="1" x14ac:dyDescent="0.3">
      <c r="A174" s="4" t="s">
        <v>21</v>
      </c>
      <c r="B174" s="4" t="s">
        <v>40</v>
      </c>
      <c r="C174" s="4" t="s">
        <v>23</v>
      </c>
      <c r="D174" s="4" t="s">
        <v>41</v>
      </c>
      <c r="E174" s="4" t="s">
        <v>49</v>
      </c>
      <c r="F174" s="4" t="s">
        <v>50</v>
      </c>
      <c r="G174" s="4" t="s">
        <v>25</v>
      </c>
      <c r="H174" s="4" t="s">
        <v>25</v>
      </c>
      <c r="I174" s="5">
        <v>44621</v>
      </c>
      <c r="J174" s="6">
        <v>0</v>
      </c>
      <c r="K174" s="6">
        <v>0</v>
      </c>
      <c r="L174" s="6">
        <v>0.05</v>
      </c>
      <c r="M174" s="6">
        <v>0.05</v>
      </c>
      <c r="N174" s="6">
        <v>0.05</v>
      </c>
      <c r="O174" s="6">
        <v>0.05</v>
      </c>
      <c r="P174" s="6">
        <v>0</v>
      </c>
      <c r="Q174" s="4" t="s">
        <v>26</v>
      </c>
      <c r="R174" s="4">
        <v>0</v>
      </c>
      <c r="S174" s="4" t="s">
        <v>196</v>
      </c>
      <c r="T174" s="4" t="s">
        <v>321</v>
      </c>
      <c r="U174" s="4">
        <v>0</v>
      </c>
      <c r="V174" s="4">
        <v>64</v>
      </c>
      <c r="W174" s="4">
        <v>21</v>
      </c>
    </row>
    <row r="175" spans="1:23" ht="11.25" customHeight="1" x14ac:dyDescent="0.3">
      <c r="A175" s="4" t="s">
        <v>21</v>
      </c>
      <c r="B175" s="4" t="s">
        <v>40</v>
      </c>
      <c r="C175" s="4" t="s">
        <v>23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44287</v>
      </c>
      <c r="J175" s="6">
        <v>0</v>
      </c>
      <c r="K175" s="6">
        <v>0</v>
      </c>
      <c r="L175" s="6">
        <v>127.32299999999999</v>
      </c>
      <c r="M175" s="6">
        <v>127.32299999999999</v>
      </c>
      <c r="N175" s="6">
        <v>127.32299999999999</v>
      </c>
      <c r="O175" s="6">
        <v>127.32299999999999</v>
      </c>
      <c r="P175" s="6">
        <v>263</v>
      </c>
      <c r="Q175" s="4" t="s">
        <v>26</v>
      </c>
      <c r="R175" s="4">
        <v>0</v>
      </c>
      <c r="S175" s="4" t="s">
        <v>185</v>
      </c>
      <c r="T175" s="4" t="s">
        <v>310</v>
      </c>
      <c r="U175" s="4">
        <v>0</v>
      </c>
      <c r="V175" s="4">
        <v>74</v>
      </c>
      <c r="W175" s="4">
        <v>21</v>
      </c>
    </row>
    <row r="176" spans="1:23" ht="11.25" customHeight="1" x14ac:dyDescent="0.3">
      <c r="A176" s="4" t="s">
        <v>27</v>
      </c>
      <c r="B176" s="4" t="s">
        <v>40</v>
      </c>
      <c r="C176" s="4" t="s">
        <v>23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44287</v>
      </c>
      <c r="J176" s="6">
        <v>0</v>
      </c>
      <c r="K176" s="6">
        <v>0</v>
      </c>
      <c r="L176" s="6">
        <v>-0.97699999999999998</v>
      </c>
      <c r="M176" s="6">
        <v>-0.97699999999999998</v>
      </c>
      <c r="N176" s="6">
        <v>-0.97699999999999998</v>
      </c>
      <c r="O176" s="6">
        <v>-0.97699999999999998</v>
      </c>
      <c r="P176" s="6">
        <v>0</v>
      </c>
      <c r="Q176" s="4" t="s">
        <v>26</v>
      </c>
      <c r="R176" s="4">
        <v>0</v>
      </c>
      <c r="S176" s="4" t="s">
        <v>185</v>
      </c>
      <c r="T176" s="4" t="s">
        <v>310</v>
      </c>
      <c r="U176" s="4">
        <v>0</v>
      </c>
      <c r="V176" s="4">
        <v>74</v>
      </c>
      <c r="W176" s="4">
        <v>21</v>
      </c>
    </row>
    <row r="177" spans="1:23" ht="11.25" customHeight="1" x14ac:dyDescent="0.3">
      <c r="A177" s="4" t="s">
        <v>21</v>
      </c>
      <c r="B177" s="4" t="s">
        <v>40</v>
      </c>
      <c r="C177" s="4" t="s">
        <v>23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44317</v>
      </c>
      <c r="J177" s="6">
        <v>0</v>
      </c>
      <c r="K177" s="6">
        <v>0</v>
      </c>
      <c r="L177" s="6">
        <v>124.43600000000001</v>
      </c>
      <c r="M177" s="6">
        <v>124.43600000000001</v>
      </c>
      <c r="N177" s="6">
        <v>124.43600000000001</v>
      </c>
      <c r="O177" s="6">
        <v>124.43600000000001</v>
      </c>
      <c r="P177" s="6">
        <v>262</v>
      </c>
      <c r="Q177" s="4" t="s">
        <v>26</v>
      </c>
      <c r="R177" s="4">
        <v>0</v>
      </c>
      <c r="S177" s="4" t="s">
        <v>186</v>
      </c>
      <c r="T177" s="4" t="s">
        <v>311</v>
      </c>
      <c r="U177" s="4">
        <v>0</v>
      </c>
      <c r="V177" s="4">
        <v>74</v>
      </c>
      <c r="W177" s="4">
        <v>21</v>
      </c>
    </row>
    <row r="178" spans="1:23" ht="11.25" customHeight="1" x14ac:dyDescent="0.3">
      <c r="A178" s="4" t="s">
        <v>27</v>
      </c>
      <c r="B178" s="4" t="s">
        <v>40</v>
      </c>
      <c r="C178" s="4" t="s">
        <v>23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44317</v>
      </c>
      <c r="J178" s="6">
        <v>0</v>
      </c>
      <c r="K178" s="6">
        <v>0</v>
      </c>
      <c r="L178" s="6">
        <v>-7.9000000000000001E-2</v>
      </c>
      <c r="M178" s="6">
        <v>-7.9000000000000001E-2</v>
      </c>
      <c r="N178" s="6">
        <v>-7.9000000000000001E-2</v>
      </c>
      <c r="O178" s="6">
        <v>-7.9000000000000001E-2</v>
      </c>
      <c r="P178" s="6">
        <v>0</v>
      </c>
      <c r="Q178" s="4" t="s">
        <v>26</v>
      </c>
      <c r="R178" s="4">
        <v>0</v>
      </c>
      <c r="S178" s="4" t="s">
        <v>186</v>
      </c>
      <c r="T178" s="4" t="s">
        <v>311</v>
      </c>
      <c r="U178" s="4">
        <v>0</v>
      </c>
      <c r="V178" s="4">
        <v>74</v>
      </c>
      <c r="W178" s="4">
        <v>21</v>
      </c>
    </row>
    <row r="179" spans="1:23" ht="11.25" customHeight="1" x14ac:dyDescent="0.3">
      <c r="A179" s="4" t="s">
        <v>21</v>
      </c>
      <c r="B179" s="4" t="s">
        <v>40</v>
      </c>
      <c r="C179" s="4" t="s">
        <v>23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44348</v>
      </c>
      <c r="J179" s="6">
        <v>0</v>
      </c>
      <c r="K179" s="6">
        <v>0</v>
      </c>
      <c r="L179" s="6">
        <v>129.67699999999999</v>
      </c>
      <c r="M179" s="6">
        <v>129.67699999999999</v>
      </c>
      <c r="N179" s="6">
        <v>129.67699999999999</v>
      </c>
      <c r="O179" s="6">
        <v>129.67699999999999</v>
      </c>
      <c r="P179" s="6">
        <v>261</v>
      </c>
      <c r="Q179" s="4" t="s">
        <v>26</v>
      </c>
      <c r="R179" s="4">
        <v>0</v>
      </c>
      <c r="S179" s="4" t="s">
        <v>187</v>
      </c>
      <c r="T179" s="4" t="s">
        <v>312</v>
      </c>
      <c r="U179" s="4">
        <v>0</v>
      </c>
      <c r="V179" s="4">
        <v>74</v>
      </c>
      <c r="W179" s="4">
        <v>21</v>
      </c>
    </row>
    <row r="180" spans="1:23" ht="11.25" customHeight="1" x14ac:dyDescent="0.3">
      <c r="A180" s="4" t="s">
        <v>27</v>
      </c>
      <c r="B180" s="4" t="s">
        <v>40</v>
      </c>
      <c r="C180" s="4" t="s">
        <v>23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44348</v>
      </c>
      <c r="J180" s="6">
        <v>0</v>
      </c>
      <c r="K180" s="6">
        <v>0</v>
      </c>
      <c r="L180" s="6">
        <v>-0.24099999999999999</v>
      </c>
      <c r="M180" s="6">
        <v>-0.24099999999999999</v>
      </c>
      <c r="N180" s="6">
        <v>-0.24099999999999999</v>
      </c>
      <c r="O180" s="6">
        <v>-0.24099999999999999</v>
      </c>
      <c r="P180" s="6">
        <v>0</v>
      </c>
      <c r="Q180" s="4" t="s">
        <v>26</v>
      </c>
      <c r="R180" s="4">
        <v>0</v>
      </c>
      <c r="S180" s="4" t="s">
        <v>187</v>
      </c>
      <c r="T180" s="4" t="s">
        <v>312</v>
      </c>
      <c r="U180" s="4">
        <v>0</v>
      </c>
      <c r="V180" s="4">
        <v>74</v>
      </c>
      <c r="W180" s="4">
        <v>21</v>
      </c>
    </row>
    <row r="181" spans="1:23" ht="11.25" customHeight="1" x14ac:dyDescent="0.3">
      <c r="A181" s="4" t="s">
        <v>21</v>
      </c>
      <c r="B181" s="4" t="s">
        <v>40</v>
      </c>
      <c r="C181" s="4" t="s">
        <v>23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44378</v>
      </c>
      <c r="J181" s="6">
        <v>0</v>
      </c>
      <c r="K181" s="6">
        <v>0</v>
      </c>
      <c r="L181" s="6">
        <v>118.70099999999999</v>
      </c>
      <c r="M181" s="6">
        <v>118.70099999999999</v>
      </c>
      <c r="N181" s="6">
        <v>118.70099999999999</v>
      </c>
      <c r="O181" s="6">
        <v>118.70099999999999</v>
      </c>
      <c r="P181" s="6">
        <v>261</v>
      </c>
      <c r="Q181" s="4" t="s">
        <v>26</v>
      </c>
      <c r="R181" s="4">
        <v>0</v>
      </c>
      <c r="S181" s="4" t="s">
        <v>188</v>
      </c>
      <c r="T181" s="4" t="s">
        <v>313</v>
      </c>
      <c r="U181" s="4">
        <v>0</v>
      </c>
      <c r="V181" s="4">
        <v>74</v>
      </c>
      <c r="W181" s="4">
        <v>21</v>
      </c>
    </row>
    <row r="182" spans="1:23" ht="11.25" customHeight="1" x14ac:dyDescent="0.3">
      <c r="A182" s="4" t="s">
        <v>27</v>
      </c>
      <c r="B182" s="4" t="s">
        <v>40</v>
      </c>
      <c r="C182" s="4" t="s">
        <v>23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44378</v>
      </c>
      <c r="J182" s="6">
        <v>0</v>
      </c>
      <c r="K182" s="6">
        <v>0</v>
      </c>
      <c r="L182" s="6">
        <v>-0.22700000000000001</v>
      </c>
      <c r="M182" s="6">
        <v>-0.22700000000000001</v>
      </c>
      <c r="N182" s="6">
        <v>-0.22700000000000001</v>
      </c>
      <c r="O182" s="6">
        <v>-0.22700000000000001</v>
      </c>
      <c r="P182" s="6">
        <v>0</v>
      </c>
      <c r="Q182" s="4" t="s">
        <v>26</v>
      </c>
      <c r="R182" s="4">
        <v>0</v>
      </c>
      <c r="S182" s="4" t="s">
        <v>188</v>
      </c>
      <c r="T182" s="4" t="s">
        <v>313</v>
      </c>
      <c r="U182" s="4">
        <v>0</v>
      </c>
      <c r="V182" s="4">
        <v>74</v>
      </c>
      <c r="W182" s="4">
        <v>21</v>
      </c>
    </row>
    <row r="183" spans="1:23" ht="11.25" customHeight="1" x14ac:dyDescent="0.3">
      <c r="A183" s="4" t="s">
        <v>21</v>
      </c>
      <c r="B183" s="4" t="s">
        <v>40</v>
      </c>
      <c r="C183" s="4" t="s">
        <v>23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44409</v>
      </c>
      <c r="J183" s="6">
        <v>0</v>
      </c>
      <c r="K183" s="6">
        <v>0</v>
      </c>
      <c r="L183" s="6">
        <v>122.214</v>
      </c>
      <c r="M183" s="6">
        <v>122.214</v>
      </c>
      <c r="N183" s="6">
        <v>122.214</v>
      </c>
      <c r="O183" s="6">
        <v>122.214</v>
      </c>
      <c r="P183" s="6">
        <v>261</v>
      </c>
      <c r="Q183" s="4" t="s">
        <v>26</v>
      </c>
      <c r="R183" s="4">
        <v>0</v>
      </c>
      <c r="S183" s="4" t="s">
        <v>189</v>
      </c>
      <c r="T183" s="4" t="s">
        <v>314</v>
      </c>
      <c r="U183" s="4">
        <v>0</v>
      </c>
      <c r="V183" s="4">
        <v>74</v>
      </c>
      <c r="W183" s="4">
        <v>21</v>
      </c>
    </row>
    <row r="184" spans="1:23" ht="11.25" customHeight="1" x14ac:dyDescent="0.3">
      <c r="A184" s="4" t="s">
        <v>21</v>
      </c>
      <c r="B184" s="4" t="s">
        <v>40</v>
      </c>
      <c r="C184" s="4" t="s">
        <v>23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44440</v>
      </c>
      <c r="J184" s="6">
        <v>0</v>
      </c>
      <c r="K184" s="6">
        <v>0</v>
      </c>
      <c r="L184" s="6">
        <v>131.24199999999999</v>
      </c>
      <c r="M184" s="6">
        <v>131.24199999999999</v>
      </c>
      <c r="N184" s="6">
        <v>131.24199999999999</v>
      </c>
      <c r="O184" s="6">
        <v>131.24199999999999</v>
      </c>
      <c r="P184" s="6">
        <v>261</v>
      </c>
      <c r="Q184" s="4" t="s">
        <v>26</v>
      </c>
      <c r="R184" s="4">
        <v>0</v>
      </c>
      <c r="S184" s="4" t="s">
        <v>190</v>
      </c>
      <c r="T184" s="4" t="s">
        <v>315</v>
      </c>
      <c r="U184" s="4">
        <v>0</v>
      </c>
      <c r="V184" s="4">
        <v>74</v>
      </c>
      <c r="W184" s="4">
        <v>21</v>
      </c>
    </row>
    <row r="185" spans="1:23" ht="11.25" customHeight="1" x14ac:dyDescent="0.3">
      <c r="A185" s="4" t="s">
        <v>21</v>
      </c>
      <c r="B185" s="4" t="s">
        <v>40</v>
      </c>
      <c r="C185" s="4" t="s">
        <v>23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44470</v>
      </c>
      <c r="J185" s="6">
        <v>0</v>
      </c>
      <c r="K185" s="6">
        <v>0</v>
      </c>
      <c r="L185" s="6">
        <v>116.65600000000001</v>
      </c>
      <c r="M185" s="6">
        <v>116.65600000000001</v>
      </c>
      <c r="N185" s="6">
        <v>116.65600000000001</v>
      </c>
      <c r="O185" s="6">
        <v>116.65600000000001</v>
      </c>
      <c r="P185" s="6">
        <v>256</v>
      </c>
      <c r="Q185" s="4" t="s">
        <v>26</v>
      </c>
      <c r="R185" s="4">
        <v>0</v>
      </c>
      <c r="S185" s="4" t="s">
        <v>191</v>
      </c>
      <c r="T185" s="4" t="s">
        <v>316</v>
      </c>
      <c r="U185" s="4">
        <v>0</v>
      </c>
      <c r="V185" s="4">
        <v>74</v>
      </c>
      <c r="W185" s="4">
        <v>21</v>
      </c>
    </row>
    <row r="186" spans="1:23" ht="11.25" customHeight="1" x14ac:dyDescent="0.3">
      <c r="A186" s="4" t="s">
        <v>28</v>
      </c>
      <c r="B186" s="4" t="s">
        <v>40</v>
      </c>
      <c r="C186" s="4" t="s">
        <v>23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44470</v>
      </c>
      <c r="J186" s="6">
        <v>0</v>
      </c>
      <c r="K186" s="6">
        <v>0</v>
      </c>
      <c r="L186" s="6">
        <v>1.3080000000000001</v>
      </c>
      <c r="M186" s="6">
        <v>1.3080000000000001</v>
      </c>
      <c r="N186" s="6">
        <v>1.3080000000000001</v>
      </c>
      <c r="O186" s="6">
        <v>1.3080000000000001</v>
      </c>
      <c r="P186" s="6">
        <v>1</v>
      </c>
      <c r="Q186" s="4" t="s">
        <v>26</v>
      </c>
      <c r="R186" s="4">
        <v>0</v>
      </c>
      <c r="S186" s="4" t="s">
        <v>191</v>
      </c>
      <c r="T186" s="4" t="s">
        <v>316</v>
      </c>
      <c r="U186" s="4">
        <v>0</v>
      </c>
      <c r="V186" s="4">
        <v>74</v>
      </c>
      <c r="W186" s="4">
        <v>21</v>
      </c>
    </row>
    <row r="187" spans="1:23" ht="11.25" customHeight="1" x14ac:dyDescent="0.3">
      <c r="A187" s="4" t="s">
        <v>21</v>
      </c>
      <c r="B187" s="4" t="s">
        <v>40</v>
      </c>
      <c r="C187" s="4" t="s">
        <v>23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44501</v>
      </c>
      <c r="J187" s="6">
        <v>0</v>
      </c>
      <c r="K187" s="6">
        <v>0</v>
      </c>
      <c r="L187" s="6">
        <v>125.11799999999999</v>
      </c>
      <c r="M187" s="6">
        <v>125.11799999999999</v>
      </c>
      <c r="N187" s="6">
        <v>125.11799999999999</v>
      </c>
      <c r="O187" s="6">
        <v>125.11799999999999</v>
      </c>
      <c r="P187" s="6">
        <v>256</v>
      </c>
      <c r="Q187" s="4" t="s">
        <v>26</v>
      </c>
      <c r="R187" s="4">
        <v>0</v>
      </c>
      <c r="S187" s="4" t="s">
        <v>192</v>
      </c>
      <c r="T187" s="4" t="s">
        <v>317</v>
      </c>
      <c r="U187" s="4">
        <v>0</v>
      </c>
      <c r="V187" s="4">
        <v>74</v>
      </c>
      <c r="W187" s="4">
        <v>21</v>
      </c>
    </row>
    <row r="188" spans="1:23" ht="11.25" customHeight="1" x14ac:dyDescent="0.3">
      <c r="A188" s="4" t="s">
        <v>27</v>
      </c>
      <c r="B188" s="4" t="s">
        <v>40</v>
      </c>
      <c r="C188" s="4" t="s">
        <v>23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44501</v>
      </c>
      <c r="J188" s="6">
        <v>0</v>
      </c>
      <c r="K188" s="6">
        <v>0</v>
      </c>
      <c r="L188" s="6">
        <v>-0.80100000000000005</v>
      </c>
      <c r="M188" s="6">
        <v>-0.80100000000000005</v>
      </c>
      <c r="N188" s="6">
        <v>-0.80100000000000005</v>
      </c>
      <c r="O188" s="6">
        <v>-0.80100000000000005</v>
      </c>
      <c r="P188" s="6">
        <v>0</v>
      </c>
      <c r="Q188" s="4" t="s">
        <v>26</v>
      </c>
      <c r="R188" s="4">
        <v>0</v>
      </c>
      <c r="S188" s="4" t="s">
        <v>192</v>
      </c>
      <c r="T188" s="4" t="s">
        <v>317</v>
      </c>
      <c r="U188" s="4">
        <v>0</v>
      </c>
      <c r="V188" s="4">
        <v>74</v>
      </c>
      <c r="W188" s="4">
        <v>21</v>
      </c>
    </row>
    <row r="189" spans="1:23" ht="11.25" customHeight="1" x14ac:dyDescent="0.3">
      <c r="A189" s="4" t="s">
        <v>28</v>
      </c>
      <c r="B189" s="4" t="s">
        <v>40</v>
      </c>
      <c r="C189" s="4" t="s">
        <v>23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44501</v>
      </c>
      <c r="J189" s="6">
        <v>0</v>
      </c>
      <c r="K189" s="6">
        <v>0</v>
      </c>
      <c r="L189" s="6">
        <v>0.88</v>
      </c>
      <c r="M189" s="6">
        <v>0.88</v>
      </c>
      <c r="N189" s="6">
        <v>0.88</v>
      </c>
      <c r="O189" s="6">
        <v>0.88</v>
      </c>
      <c r="P189" s="6">
        <v>1</v>
      </c>
      <c r="Q189" s="4" t="s">
        <v>26</v>
      </c>
      <c r="R189" s="4">
        <v>0</v>
      </c>
      <c r="S189" s="4" t="s">
        <v>192</v>
      </c>
      <c r="T189" s="4" t="s">
        <v>317</v>
      </c>
      <c r="U189" s="4">
        <v>0</v>
      </c>
      <c r="V189" s="4">
        <v>74</v>
      </c>
      <c r="W189" s="4">
        <v>21</v>
      </c>
    </row>
    <row r="190" spans="1:23" ht="11.25" customHeight="1" x14ac:dyDescent="0.3">
      <c r="A190" s="4" t="s">
        <v>21</v>
      </c>
      <c r="B190" s="4" t="s">
        <v>40</v>
      </c>
      <c r="C190" s="4" t="s">
        <v>23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129.33799999999999</v>
      </c>
      <c r="M190" s="6">
        <v>129.33799999999999</v>
      </c>
      <c r="N190" s="6">
        <v>129.33799999999999</v>
      </c>
      <c r="O190" s="6">
        <v>129.33799999999999</v>
      </c>
      <c r="P190" s="6">
        <v>253</v>
      </c>
      <c r="Q190" s="4" t="s">
        <v>26</v>
      </c>
      <c r="R190" s="4">
        <v>0</v>
      </c>
      <c r="S190" s="4" t="s">
        <v>193</v>
      </c>
      <c r="T190" s="4" t="s">
        <v>318</v>
      </c>
      <c r="U190" s="4">
        <v>0</v>
      </c>
      <c r="V190" s="4">
        <v>74</v>
      </c>
      <c r="W190" s="4">
        <v>21</v>
      </c>
    </row>
    <row r="191" spans="1:23" ht="11.25" customHeight="1" x14ac:dyDescent="0.3">
      <c r="A191" s="4" t="s">
        <v>28</v>
      </c>
      <c r="B191" s="4" t="s">
        <v>40</v>
      </c>
      <c r="C191" s="4" t="s">
        <v>23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44531</v>
      </c>
      <c r="J191" s="6">
        <v>0</v>
      </c>
      <c r="K191" s="6">
        <v>0</v>
      </c>
      <c r="L191" s="6">
        <v>0.79500000000000004</v>
      </c>
      <c r="M191" s="6">
        <v>0.79500000000000004</v>
      </c>
      <c r="N191" s="6">
        <v>0.79500000000000004</v>
      </c>
      <c r="O191" s="6">
        <v>0.79500000000000004</v>
      </c>
      <c r="P191" s="6">
        <v>1</v>
      </c>
      <c r="Q191" s="4" t="s">
        <v>26</v>
      </c>
      <c r="R191" s="4">
        <v>0</v>
      </c>
      <c r="S191" s="4" t="s">
        <v>193</v>
      </c>
      <c r="T191" s="4" t="s">
        <v>318</v>
      </c>
      <c r="U191" s="4">
        <v>0</v>
      </c>
      <c r="V191" s="4">
        <v>74</v>
      </c>
      <c r="W191" s="4">
        <v>21</v>
      </c>
    </row>
    <row r="192" spans="1:23" ht="11.25" customHeight="1" x14ac:dyDescent="0.3">
      <c r="A192" s="4" t="s">
        <v>21</v>
      </c>
      <c r="B192" s="4" t="s">
        <v>40</v>
      </c>
      <c r="C192" s="4" t="s">
        <v>23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44562</v>
      </c>
      <c r="J192" s="6">
        <v>0</v>
      </c>
      <c r="K192" s="6">
        <v>0</v>
      </c>
      <c r="L192" s="6">
        <v>132.16300000000001</v>
      </c>
      <c r="M192" s="6">
        <v>132.16300000000001</v>
      </c>
      <c r="N192" s="6">
        <v>132.16300000000001</v>
      </c>
      <c r="O192" s="6">
        <v>132.16300000000001</v>
      </c>
      <c r="P192" s="6">
        <v>248</v>
      </c>
      <c r="Q192" s="4" t="s">
        <v>26</v>
      </c>
      <c r="R192" s="4">
        <v>0</v>
      </c>
      <c r="S192" s="4" t="s">
        <v>194</v>
      </c>
      <c r="T192" s="4" t="s">
        <v>319</v>
      </c>
      <c r="U192" s="4">
        <v>0</v>
      </c>
      <c r="V192" s="4">
        <v>74</v>
      </c>
      <c r="W192" s="4">
        <v>21</v>
      </c>
    </row>
    <row r="193" spans="1:23" ht="11.25" customHeight="1" x14ac:dyDescent="0.3">
      <c r="A193" s="4" t="s">
        <v>28</v>
      </c>
      <c r="B193" s="4" t="s">
        <v>40</v>
      </c>
      <c r="C193" s="4" t="s">
        <v>23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0</v>
      </c>
      <c r="K193" s="6">
        <v>0</v>
      </c>
      <c r="L193" s="6">
        <v>1.927</v>
      </c>
      <c r="M193" s="6">
        <v>1.927</v>
      </c>
      <c r="N193" s="6">
        <v>1.927</v>
      </c>
      <c r="O193" s="6">
        <v>1.927</v>
      </c>
      <c r="P193" s="6">
        <v>2</v>
      </c>
      <c r="Q193" s="4" t="s">
        <v>26</v>
      </c>
      <c r="R193" s="4">
        <v>0</v>
      </c>
      <c r="S193" s="4" t="s">
        <v>194</v>
      </c>
      <c r="T193" s="4" t="s">
        <v>319</v>
      </c>
      <c r="U193" s="4">
        <v>0</v>
      </c>
      <c r="V193" s="4">
        <v>74</v>
      </c>
      <c r="W193" s="4">
        <v>21</v>
      </c>
    </row>
    <row r="194" spans="1:23" ht="11.25" customHeight="1" x14ac:dyDescent="0.3">
      <c r="A194" s="4" t="s">
        <v>21</v>
      </c>
      <c r="B194" s="4" t="s">
        <v>40</v>
      </c>
      <c r="C194" s="4" t="s">
        <v>23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131.50399999999999</v>
      </c>
      <c r="M194" s="6">
        <v>131.50399999999999</v>
      </c>
      <c r="N194" s="6">
        <v>131.50399999999999</v>
      </c>
      <c r="O194" s="6">
        <v>131.50399999999999</v>
      </c>
      <c r="P194" s="6">
        <v>247</v>
      </c>
      <c r="Q194" s="4" t="s">
        <v>26</v>
      </c>
      <c r="R194" s="4">
        <v>0</v>
      </c>
      <c r="S194" s="4" t="s">
        <v>195</v>
      </c>
      <c r="T194" s="4" t="s">
        <v>320</v>
      </c>
      <c r="U194" s="4">
        <v>0</v>
      </c>
      <c r="V194" s="4">
        <v>74</v>
      </c>
      <c r="W194" s="4">
        <v>21</v>
      </c>
    </row>
    <row r="195" spans="1:23" ht="11.25" customHeight="1" x14ac:dyDescent="0.3">
      <c r="A195" s="4" t="s">
        <v>28</v>
      </c>
      <c r="B195" s="4" t="s">
        <v>40</v>
      </c>
      <c r="C195" s="4" t="s">
        <v>23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44593</v>
      </c>
      <c r="J195" s="6">
        <v>0</v>
      </c>
      <c r="K195" s="6">
        <v>0</v>
      </c>
      <c r="L195" s="6">
        <v>0.316</v>
      </c>
      <c r="M195" s="6">
        <v>0.316</v>
      </c>
      <c r="N195" s="6">
        <v>0.316</v>
      </c>
      <c r="O195" s="6">
        <v>0.316</v>
      </c>
      <c r="P195" s="6">
        <v>2</v>
      </c>
      <c r="Q195" s="4" t="s">
        <v>26</v>
      </c>
      <c r="R195" s="4">
        <v>0</v>
      </c>
      <c r="S195" s="4" t="s">
        <v>195</v>
      </c>
      <c r="T195" s="4" t="s">
        <v>320</v>
      </c>
      <c r="U195" s="4">
        <v>0</v>
      </c>
      <c r="V195" s="4">
        <v>74</v>
      </c>
      <c r="W195" s="4">
        <v>21</v>
      </c>
    </row>
    <row r="196" spans="1:23" ht="11.25" customHeight="1" x14ac:dyDescent="0.3">
      <c r="A196" s="4" t="s">
        <v>21</v>
      </c>
      <c r="B196" s="4" t="s">
        <v>40</v>
      </c>
      <c r="C196" s="4" t="s">
        <v>23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44621</v>
      </c>
      <c r="J196" s="6">
        <v>0</v>
      </c>
      <c r="K196" s="6">
        <v>0</v>
      </c>
      <c r="L196" s="6">
        <v>122.595</v>
      </c>
      <c r="M196" s="6">
        <v>122.595</v>
      </c>
      <c r="N196" s="6">
        <v>122.595</v>
      </c>
      <c r="O196" s="6">
        <v>122.595</v>
      </c>
      <c r="P196" s="6">
        <v>246</v>
      </c>
      <c r="Q196" s="4" t="s">
        <v>26</v>
      </c>
      <c r="R196" s="4">
        <v>0</v>
      </c>
      <c r="S196" s="4" t="s">
        <v>196</v>
      </c>
      <c r="T196" s="4" t="s">
        <v>321</v>
      </c>
      <c r="U196" s="4">
        <v>0</v>
      </c>
      <c r="V196" s="4">
        <v>74</v>
      </c>
      <c r="W196" s="4">
        <v>21</v>
      </c>
    </row>
    <row r="197" spans="1:23" ht="11.25" customHeight="1" x14ac:dyDescent="0.3">
      <c r="A197" s="4" t="s">
        <v>28</v>
      </c>
      <c r="B197" s="4" t="s">
        <v>40</v>
      </c>
      <c r="C197" s="4" t="s">
        <v>23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0</v>
      </c>
      <c r="K197" s="6">
        <v>0</v>
      </c>
      <c r="L197" s="6">
        <v>1.458</v>
      </c>
      <c r="M197" s="6">
        <v>1.458</v>
      </c>
      <c r="N197" s="6">
        <v>1.458</v>
      </c>
      <c r="O197" s="6">
        <v>1.458</v>
      </c>
      <c r="P197" s="6">
        <v>3</v>
      </c>
      <c r="Q197" s="4" t="s">
        <v>26</v>
      </c>
      <c r="R197" s="4">
        <v>0</v>
      </c>
      <c r="S197" s="4" t="s">
        <v>196</v>
      </c>
      <c r="T197" s="4" t="s">
        <v>321</v>
      </c>
      <c r="U197" s="4">
        <v>0</v>
      </c>
      <c r="V197" s="4">
        <v>74</v>
      </c>
      <c r="W197" s="4">
        <v>21</v>
      </c>
    </row>
    <row r="198" spans="1:23" ht="11.25" customHeight="1" x14ac:dyDescent="0.3">
      <c r="A198" s="4" t="s">
        <v>21</v>
      </c>
      <c r="B198" s="4" t="s">
        <v>33</v>
      </c>
      <c r="C198" s="4" t="s">
        <v>23</v>
      </c>
      <c r="D198" s="4" t="s">
        <v>35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44287</v>
      </c>
      <c r="J198" s="6">
        <v>0</v>
      </c>
      <c r="K198" s="6">
        <v>0</v>
      </c>
      <c r="L198" s="6">
        <v>463.14699999999999</v>
      </c>
      <c r="M198" s="6">
        <v>463.14699999999999</v>
      </c>
      <c r="N198" s="6">
        <v>463.14699999999999</v>
      </c>
      <c r="O198" s="6">
        <v>463.14699999999999</v>
      </c>
      <c r="P198" s="6">
        <v>603</v>
      </c>
      <c r="Q198" s="4" t="s">
        <v>26</v>
      </c>
      <c r="R198" s="4">
        <v>0</v>
      </c>
      <c r="S198" s="4" t="s">
        <v>197</v>
      </c>
      <c r="T198" s="4" t="s">
        <v>322</v>
      </c>
      <c r="U198" s="4">
        <v>0</v>
      </c>
      <c r="V198" s="4">
        <v>55</v>
      </c>
      <c r="W198" s="4">
        <v>6</v>
      </c>
    </row>
    <row r="199" spans="1:23" ht="11.25" customHeight="1" x14ac:dyDescent="0.3">
      <c r="A199" s="4" t="s">
        <v>27</v>
      </c>
      <c r="B199" s="4" t="s">
        <v>33</v>
      </c>
      <c r="C199" s="4" t="s">
        <v>23</v>
      </c>
      <c r="D199" s="4" t="s">
        <v>35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44287</v>
      </c>
      <c r="J199" s="6">
        <v>0</v>
      </c>
      <c r="K199" s="6">
        <v>0</v>
      </c>
      <c r="L199" s="6">
        <v>-2.343</v>
      </c>
      <c r="M199" s="6">
        <v>-2.343</v>
      </c>
      <c r="N199" s="6">
        <v>-2.343</v>
      </c>
      <c r="O199" s="6">
        <v>-2.343</v>
      </c>
      <c r="P199" s="6">
        <v>0</v>
      </c>
      <c r="Q199" s="4" t="s">
        <v>26</v>
      </c>
      <c r="R199" s="4">
        <v>0</v>
      </c>
      <c r="S199" s="4" t="s">
        <v>197</v>
      </c>
      <c r="T199" s="4" t="s">
        <v>322</v>
      </c>
      <c r="U199" s="4">
        <v>0</v>
      </c>
      <c r="V199" s="4">
        <v>55</v>
      </c>
      <c r="W199" s="4">
        <v>6</v>
      </c>
    </row>
    <row r="200" spans="1:23" ht="11.25" customHeight="1" x14ac:dyDescent="0.3">
      <c r="A200" s="4" t="s">
        <v>28</v>
      </c>
      <c r="B200" s="4" t="s">
        <v>33</v>
      </c>
      <c r="C200" s="4" t="s">
        <v>23</v>
      </c>
      <c r="D200" s="4" t="s">
        <v>35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44287</v>
      </c>
      <c r="J200" s="6">
        <v>0</v>
      </c>
      <c r="K200" s="6">
        <v>0</v>
      </c>
      <c r="L200" s="6">
        <v>0.14899999999999999</v>
      </c>
      <c r="M200" s="6">
        <v>0.14899999999999999</v>
      </c>
      <c r="N200" s="6">
        <v>0.14899999999999999</v>
      </c>
      <c r="O200" s="6">
        <v>0.14899999999999999</v>
      </c>
      <c r="P200" s="6">
        <v>1</v>
      </c>
      <c r="Q200" s="4" t="s">
        <v>26</v>
      </c>
      <c r="R200" s="4">
        <v>0</v>
      </c>
      <c r="S200" s="4" t="s">
        <v>197</v>
      </c>
      <c r="T200" s="4" t="s">
        <v>322</v>
      </c>
      <c r="U200" s="4">
        <v>0</v>
      </c>
      <c r="V200" s="4">
        <v>55</v>
      </c>
      <c r="W200" s="4">
        <v>6</v>
      </c>
    </row>
    <row r="201" spans="1:23" ht="11.25" customHeight="1" x14ac:dyDescent="0.3">
      <c r="A201" s="4" t="s">
        <v>21</v>
      </c>
      <c r="B201" s="4" t="s">
        <v>33</v>
      </c>
      <c r="C201" s="4" t="s">
        <v>23</v>
      </c>
      <c r="D201" s="4" t="s">
        <v>35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44317</v>
      </c>
      <c r="J201" s="6">
        <v>0</v>
      </c>
      <c r="K201" s="6">
        <v>0</v>
      </c>
      <c r="L201" s="6">
        <v>437.63799999999998</v>
      </c>
      <c r="M201" s="6">
        <v>437.63799999999998</v>
      </c>
      <c r="N201" s="6">
        <v>437.63799999999998</v>
      </c>
      <c r="O201" s="6">
        <v>437.63799999999998</v>
      </c>
      <c r="P201" s="6">
        <v>594</v>
      </c>
      <c r="Q201" s="4" t="s">
        <v>26</v>
      </c>
      <c r="R201" s="4">
        <v>0</v>
      </c>
      <c r="S201" s="4" t="s">
        <v>198</v>
      </c>
      <c r="T201" s="4" t="s">
        <v>323</v>
      </c>
      <c r="U201" s="4">
        <v>0</v>
      </c>
      <c r="V201" s="4">
        <v>55</v>
      </c>
      <c r="W201" s="4">
        <v>6</v>
      </c>
    </row>
    <row r="202" spans="1:23" ht="11.25" customHeight="1" x14ac:dyDescent="0.3">
      <c r="A202" s="4" t="s">
        <v>27</v>
      </c>
      <c r="B202" s="4" t="s">
        <v>33</v>
      </c>
      <c r="C202" s="4" t="s">
        <v>23</v>
      </c>
      <c r="D202" s="4" t="s">
        <v>35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44317</v>
      </c>
      <c r="J202" s="6">
        <v>0</v>
      </c>
      <c r="K202" s="6">
        <v>0</v>
      </c>
      <c r="L202" s="6">
        <v>-9.9450000000000003</v>
      </c>
      <c r="M202" s="6">
        <v>-9.9450000000000003</v>
      </c>
      <c r="N202" s="6">
        <v>-9.9450000000000003</v>
      </c>
      <c r="O202" s="6">
        <v>-9.9450000000000003</v>
      </c>
      <c r="P202" s="6">
        <v>0</v>
      </c>
      <c r="Q202" s="4" t="s">
        <v>26</v>
      </c>
      <c r="R202" s="4">
        <v>0</v>
      </c>
      <c r="S202" s="4" t="s">
        <v>198</v>
      </c>
      <c r="T202" s="4" t="s">
        <v>323</v>
      </c>
      <c r="U202" s="4">
        <v>0</v>
      </c>
      <c r="V202" s="4">
        <v>55</v>
      </c>
      <c r="W202" s="4">
        <v>6</v>
      </c>
    </row>
    <row r="203" spans="1:23" ht="11.25" customHeight="1" x14ac:dyDescent="0.3">
      <c r="A203" s="4" t="s">
        <v>28</v>
      </c>
      <c r="B203" s="4" t="s">
        <v>33</v>
      </c>
      <c r="C203" s="4" t="s">
        <v>23</v>
      </c>
      <c r="D203" s="4" t="s">
        <v>35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44317</v>
      </c>
      <c r="J203" s="6">
        <v>0</v>
      </c>
      <c r="K203" s="6">
        <v>0</v>
      </c>
      <c r="L203" s="6">
        <v>1.9239999999999999</v>
      </c>
      <c r="M203" s="6">
        <v>1.9239999999999999</v>
      </c>
      <c r="N203" s="6">
        <v>1.9239999999999999</v>
      </c>
      <c r="O203" s="6">
        <v>1.9239999999999999</v>
      </c>
      <c r="P203" s="6">
        <v>2</v>
      </c>
      <c r="Q203" s="4" t="s">
        <v>26</v>
      </c>
      <c r="R203" s="4">
        <v>0</v>
      </c>
      <c r="S203" s="4" t="s">
        <v>198</v>
      </c>
      <c r="T203" s="4" t="s">
        <v>323</v>
      </c>
      <c r="U203" s="4">
        <v>0</v>
      </c>
      <c r="V203" s="4">
        <v>55</v>
      </c>
      <c r="W203" s="4">
        <v>6</v>
      </c>
    </row>
    <row r="204" spans="1:23" ht="11.25" customHeight="1" x14ac:dyDescent="0.3">
      <c r="A204" s="4" t="s">
        <v>21</v>
      </c>
      <c r="B204" s="4" t="s">
        <v>33</v>
      </c>
      <c r="C204" s="4" t="s">
        <v>23</v>
      </c>
      <c r="D204" s="4" t="s">
        <v>35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44348</v>
      </c>
      <c r="J204" s="6">
        <v>0</v>
      </c>
      <c r="K204" s="6">
        <v>0</v>
      </c>
      <c r="L204" s="6">
        <v>447.267</v>
      </c>
      <c r="M204" s="6">
        <v>447.267</v>
      </c>
      <c r="N204" s="6">
        <v>447.267</v>
      </c>
      <c r="O204" s="6">
        <v>447.267</v>
      </c>
      <c r="P204" s="6">
        <v>593</v>
      </c>
      <c r="Q204" s="4" t="s">
        <v>26</v>
      </c>
      <c r="R204" s="4">
        <v>0</v>
      </c>
      <c r="S204" s="4" t="s">
        <v>199</v>
      </c>
      <c r="T204" s="4" t="s">
        <v>324</v>
      </c>
      <c r="U204" s="4">
        <v>0</v>
      </c>
      <c r="V204" s="4">
        <v>55</v>
      </c>
      <c r="W204" s="4">
        <v>6</v>
      </c>
    </row>
    <row r="205" spans="1:23" ht="11.25" customHeight="1" x14ac:dyDescent="0.3">
      <c r="A205" s="4" t="s">
        <v>28</v>
      </c>
      <c r="B205" s="4" t="s">
        <v>33</v>
      </c>
      <c r="C205" s="4" t="s">
        <v>23</v>
      </c>
      <c r="D205" s="4" t="s">
        <v>35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44348</v>
      </c>
      <c r="J205" s="6">
        <v>0</v>
      </c>
      <c r="K205" s="6">
        <v>0</v>
      </c>
      <c r="L205" s="6">
        <v>4.5640000000000001</v>
      </c>
      <c r="M205" s="6">
        <v>4.5640000000000001</v>
      </c>
      <c r="N205" s="6">
        <v>4.5640000000000001</v>
      </c>
      <c r="O205" s="6">
        <v>4.5640000000000001</v>
      </c>
      <c r="P205" s="6">
        <v>3</v>
      </c>
      <c r="Q205" s="4" t="s">
        <v>26</v>
      </c>
      <c r="R205" s="4">
        <v>0</v>
      </c>
      <c r="S205" s="4" t="s">
        <v>199</v>
      </c>
      <c r="T205" s="4" t="s">
        <v>324</v>
      </c>
      <c r="U205" s="4">
        <v>0</v>
      </c>
      <c r="V205" s="4">
        <v>55</v>
      </c>
      <c r="W205" s="4">
        <v>6</v>
      </c>
    </row>
    <row r="206" spans="1:23" ht="11.25" customHeight="1" x14ac:dyDescent="0.3">
      <c r="A206" s="4" t="s">
        <v>21</v>
      </c>
      <c r="B206" s="4" t="s">
        <v>33</v>
      </c>
      <c r="C206" s="4" t="s">
        <v>23</v>
      </c>
      <c r="D206" s="4" t="s">
        <v>35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44378</v>
      </c>
      <c r="J206" s="6">
        <v>0</v>
      </c>
      <c r="K206" s="6">
        <v>0</v>
      </c>
      <c r="L206" s="6">
        <v>418.59500000000003</v>
      </c>
      <c r="M206" s="6">
        <v>418.59500000000003</v>
      </c>
      <c r="N206" s="6">
        <v>418.59500000000003</v>
      </c>
      <c r="O206" s="6">
        <v>418.59500000000003</v>
      </c>
      <c r="P206" s="6">
        <v>595</v>
      </c>
      <c r="Q206" s="4" t="s">
        <v>26</v>
      </c>
      <c r="R206" s="4">
        <v>0</v>
      </c>
      <c r="S206" s="4" t="s">
        <v>200</v>
      </c>
      <c r="T206" s="4" t="s">
        <v>325</v>
      </c>
      <c r="U206" s="4">
        <v>0</v>
      </c>
      <c r="V206" s="4">
        <v>55</v>
      </c>
      <c r="W206" s="4">
        <v>6</v>
      </c>
    </row>
    <row r="207" spans="1:23" ht="11.25" customHeight="1" x14ac:dyDescent="0.3">
      <c r="A207" s="4" t="s">
        <v>28</v>
      </c>
      <c r="B207" s="4" t="s">
        <v>33</v>
      </c>
      <c r="C207" s="4" t="s">
        <v>23</v>
      </c>
      <c r="D207" s="4" t="s">
        <v>35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44378</v>
      </c>
      <c r="J207" s="6">
        <v>0</v>
      </c>
      <c r="K207" s="6">
        <v>0</v>
      </c>
      <c r="L207" s="6">
        <v>2.0670000000000002</v>
      </c>
      <c r="M207" s="6">
        <v>2.0670000000000002</v>
      </c>
      <c r="N207" s="6">
        <v>2.0670000000000002</v>
      </c>
      <c r="O207" s="6">
        <v>2.0670000000000002</v>
      </c>
      <c r="P207" s="6">
        <v>4</v>
      </c>
      <c r="Q207" s="4" t="s">
        <v>26</v>
      </c>
      <c r="R207" s="4">
        <v>0</v>
      </c>
      <c r="S207" s="4" t="s">
        <v>200</v>
      </c>
      <c r="T207" s="4" t="s">
        <v>325</v>
      </c>
      <c r="U207" s="4">
        <v>0</v>
      </c>
      <c r="V207" s="4">
        <v>55</v>
      </c>
      <c r="W207" s="4">
        <v>6</v>
      </c>
    </row>
    <row r="208" spans="1:23" ht="11.25" customHeight="1" x14ac:dyDescent="0.3">
      <c r="A208" s="4" t="s">
        <v>21</v>
      </c>
      <c r="B208" s="4" t="s">
        <v>33</v>
      </c>
      <c r="C208" s="4" t="s">
        <v>23</v>
      </c>
      <c r="D208" s="4" t="s">
        <v>35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0</v>
      </c>
      <c r="K208" s="6">
        <v>0</v>
      </c>
      <c r="L208" s="6">
        <v>459.61200000000002</v>
      </c>
      <c r="M208" s="6">
        <v>459.61200000000002</v>
      </c>
      <c r="N208" s="6">
        <v>459.61200000000002</v>
      </c>
      <c r="O208" s="6">
        <v>459.61200000000002</v>
      </c>
      <c r="P208" s="6">
        <v>595</v>
      </c>
      <c r="Q208" s="4" t="s">
        <v>26</v>
      </c>
      <c r="R208" s="4">
        <v>0</v>
      </c>
      <c r="S208" s="4" t="s">
        <v>201</v>
      </c>
      <c r="T208" s="4" t="s">
        <v>326</v>
      </c>
      <c r="U208" s="4">
        <v>0</v>
      </c>
      <c r="V208" s="4">
        <v>55</v>
      </c>
      <c r="W208" s="4">
        <v>6</v>
      </c>
    </row>
    <row r="209" spans="1:23" ht="11.25" customHeight="1" x14ac:dyDescent="0.3">
      <c r="A209" s="4" t="s">
        <v>28</v>
      </c>
      <c r="B209" s="4" t="s">
        <v>33</v>
      </c>
      <c r="C209" s="4" t="s">
        <v>23</v>
      </c>
      <c r="D209" s="4" t="s">
        <v>35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44409</v>
      </c>
      <c r="J209" s="6">
        <v>0</v>
      </c>
      <c r="K209" s="6">
        <v>0</v>
      </c>
      <c r="L209" s="6">
        <v>4.7469999999999999</v>
      </c>
      <c r="M209" s="6">
        <v>4.7469999999999999</v>
      </c>
      <c r="N209" s="6">
        <v>4.7469999999999999</v>
      </c>
      <c r="O209" s="6">
        <v>4.7469999999999999</v>
      </c>
      <c r="P209" s="6">
        <v>5</v>
      </c>
      <c r="Q209" s="4" t="s">
        <v>26</v>
      </c>
      <c r="R209" s="4">
        <v>0</v>
      </c>
      <c r="S209" s="4" t="s">
        <v>201</v>
      </c>
      <c r="T209" s="4" t="s">
        <v>326</v>
      </c>
      <c r="U209" s="4">
        <v>0</v>
      </c>
      <c r="V209" s="4">
        <v>55</v>
      </c>
      <c r="W209" s="4">
        <v>6</v>
      </c>
    </row>
    <row r="210" spans="1:23" ht="11.25" customHeight="1" x14ac:dyDescent="0.3">
      <c r="A210" s="4" t="s">
        <v>21</v>
      </c>
      <c r="B210" s="4" t="s">
        <v>33</v>
      </c>
      <c r="C210" s="4" t="s">
        <v>23</v>
      </c>
      <c r="D210" s="4" t="s">
        <v>35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498.40899999999999</v>
      </c>
      <c r="M210" s="6">
        <v>498.40899999999999</v>
      </c>
      <c r="N210" s="6">
        <v>498.40899999999999</v>
      </c>
      <c r="O210" s="6">
        <v>498.40899999999999</v>
      </c>
      <c r="P210" s="6">
        <v>600</v>
      </c>
      <c r="Q210" s="4" t="s">
        <v>26</v>
      </c>
      <c r="R210" s="4">
        <v>0</v>
      </c>
      <c r="S210" s="4" t="s">
        <v>202</v>
      </c>
      <c r="T210" s="4" t="s">
        <v>327</v>
      </c>
      <c r="U210" s="4">
        <v>0</v>
      </c>
      <c r="V210" s="4">
        <v>55</v>
      </c>
      <c r="W210" s="4">
        <v>6</v>
      </c>
    </row>
    <row r="211" spans="1:23" ht="11.25" customHeight="1" x14ac:dyDescent="0.3">
      <c r="A211" s="4" t="s">
        <v>28</v>
      </c>
      <c r="B211" s="4" t="s">
        <v>33</v>
      </c>
      <c r="C211" s="4" t="s">
        <v>23</v>
      </c>
      <c r="D211" s="4" t="s">
        <v>35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5.859</v>
      </c>
      <c r="M211" s="6">
        <v>5.859</v>
      </c>
      <c r="N211" s="6">
        <v>5.859</v>
      </c>
      <c r="O211" s="6">
        <v>5.859</v>
      </c>
      <c r="P211" s="6">
        <v>5</v>
      </c>
      <c r="Q211" s="4" t="s">
        <v>26</v>
      </c>
      <c r="R211" s="4">
        <v>0</v>
      </c>
      <c r="S211" s="4" t="s">
        <v>202</v>
      </c>
      <c r="T211" s="4" t="s">
        <v>327</v>
      </c>
      <c r="U211" s="4">
        <v>0</v>
      </c>
      <c r="V211" s="4">
        <v>55</v>
      </c>
      <c r="W211" s="4">
        <v>6</v>
      </c>
    </row>
    <row r="212" spans="1:23" ht="11.25" customHeight="1" x14ac:dyDescent="0.3">
      <c r="A212" s="4" t="s">
        <v>21</v>
      </c>
      <c r="B212" s="4" t="s">
        <v>33</v>
      </c>
      <c r="C212" s="4" t="s">
        <v>23</v>
      </c>
      <c r="D212" s="4" t="s">
        <v>35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501.18400000000003</v>
      </c>
      <c r="M212" s="6">
        <v>501.18400000000003</v>
      </c>
      <c r="N212" s="6">
        <v>501.18400000000003</v>
      </c>
      <c r="O212" s="6">
        <v>501.18400000000003</v>
      </c>
      <c r="P212" s="6">
        <v>606</v>
      </c>
      <c r="Q212" s="4" t="s">
        <v>26</v>
      </c>
      <c r="R212" s="4">
        <v>0</v>
      </c>
      <c r="S212" s="4" t="s">
        <v>203</v>
      </c>
      <c r="T212" s="4" t="s">
        <v>328</v>
      </c>
      <c r="U212" s="4">
        <v>0</v>
      </c>
      <c r="V212" s="4">
        <v>55</v>
      </c>
      <c r="W212" s="4">
        <v>6</v>
      </c>
    </row>
    <row r="213" spans="1:23" ht="11.25" customHeight="1" x14ac:dyDescent="0.3">
      <c r="A213" s="4" t="s">
        <v>28</v>
      </c>
      <c r="B213" s="4" t="s">
        <v>33</v>
      </c>
      <c r="C213" s="4" t="s">
        <v>23</v>
      </c>
      <c r="D213" s="4" t="s">
        <v>35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7.9329999999999998</v>
      </c>
      <c r="M213" s="6">
        <v>7.9329999999999998</v>
      </c>
      <c r="N213" s="6">
        <v>7.9329999999999998</v>
      </c>
      <c r="O213" s="6">
        <v>7.9329999999999998</v>
      </c>
      <c r="P213" s="6">
        <v>5</v>
      </c>
      <c r="Q213" s="4" t="s">
        <v>26</v>
      </c>
      <c r="R213" s="4">
        <v>0</v>
      </c>
      <c r="S213" s="4" t="s">
        <v>203</v>
      </c>
      <c r="T213" s="4" t="s">
        <v>328</v>
      </c>
      <c r="U213" s="4">
        <v>0</v>
      </c>
      <c r="V213" s="4">
        <v>55</v>
      </c>
      <c r="W213" s="4">
        <v>6</v>
      </c>
    </row>
    <row r="214" spans="1:23" ht="11.25" customHeight="1" x14ac:dyDescent="0.3">
      <c r="A214" s="4" t="s">
        <v>21</v>
      </c>
      <c r="B214" s="4" t="s">
        <v>33</v>
      </c>
      <c r="C214" s="4" t="s">
        <v>23</v>
      </c>
      <c r="D214" s="4" t="s">
        <v>35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44501</v>
      </c>
      <c r="J214" s="6">
        <v>0</v>
      </c>
      <c r="K214" s="6">
        <v>0</v>
      </c>
      <c r="L214" s="6">
        <v>547.678</v>
      </c>
      <c r="M214" s="6">
        <v>547.678</v>
      </c>
      <c r="N214" s="6">
        <v>547.678</v>
      </c>
      <c r="O214" s="6">
        <v>547.678</v>
      </c>
      <c r="P214" s="6">
        <v>614</v>
      </c>
      <c r="Q214" s="4" t="s">
        <v>26</v>
      </c>
      <c r="R214" s="4">
        <v>0</v>
      </c>
      <c r="S214" s="4" t="s">
        <v>204</v>
      </c>
      <c r="T214" s="4" t="s">
        <v>329</v>
      </c>
      <c r="U214" s="4">
        <v>0</v>
      </c>
      <c r="V214" s="4">
        <v>55</v>
      </c>
      <c r="W214" s="4">
        <v>6</v>
      </c>
    </row>
    <row r="215" spans="1:23" ht="11.25" customHeight="1" x14ac:dyDescent="0.3">
      <c r="A215" s="4" t="s">
        <v>27</v>
      </c>
      <c r="B215" s="4" t="s">
        <v>33</v>
      </c>
      <c r="C215" s="4" t="s">
        <v>23</v>
      </c>
      <c r="D215" s="4" t="s">
        <v>35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-1.0660000000000001</v>
      </c>
      <c r="M215" s="6">
        <v>-1.0660000000000001</v>
      </c>
      <c r="N215" s="6">
        <v>-1.0660000000000001</v>
      </c>
      <c r="O215" s="6">
        <v>-1.0660000000000001</v>
      </c>
      <c r="P215" s="6">
        <v>0</v>
      </c>
      <c r="Q215" s="4" t="s">
        <v>26</v>
      </c>
      <c r="R215" s="4">
        <v>0</v>
      </c>
      <c r="S215" s="4" t="s">
        <v>204</v>
      </c>
      <c r="T215" s="4" t="s">
        <v>329</v>
      </c>
      <c r="U215" s="4">
        <v>0</v>
      </c>
      <c r="V215" s="4">
        <v>55</v>
      </c>
      <c r="W215" s="4">
        <v>6</v>
      </c>
    </row>
    <row r="216" spans="1:23" ht="11.25" customHeight="1" x14ac:dyDescent="0.3">
      <c r="A216" s="4" t="s">
        <v>28</v>
      </c>
      <c r="B216" s="4" t="s">
        <v>33</v>
      </c>
      <c r="C216" s="4" t="s">
        <v>23</v>
      </c>
      <c r="D216" s="4" t="s">
        <v>35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5.8879999999999999</v>
      </c>
      <c r="M216" s="6">
        <v>5.8879999999999999</v>
      </c>
      <c r="N216" s="6">
        <v>5.8879999999999999</v>
      </c>
      <c r="O216" s="6">
        <v>5.8879999999999999</v>
      </c>
      <c r="P216" s="6">
        <v>5</v>
      </c>
      <c r="Q216" s="4" t="s">
        <v>26</v>
      </c>
      <c r="R216" s="4">
        <v>0</v>
      </c>
      <c r="S216" s="4" t="s">
        <v>204</v>
      </c>
      <c r="T216" s="4" t="s">
        <v>329</v>
      </c>
      <c r="U216" s="4">
        <v>0</v>
      </c>
      <c r="V216" s="4">
        <v>55</v>
      </c>
      <c r="W216" s="4">
        <v>6</v>
      </c>
    </row>
    <row r="217" spans="1:23" ht="11.25" customHeight="1" x14ac:dyDescent="0.3">
      <c r="A217" s="4" t="s">
        <v>21</v>
      </c>
      <c r="B217" s="4" t="s">
        <v>33</v>
      </c>
      <c r="C217" s="4" t="s">
        <v>23</v>
      </c>
      <c r="D217" s="4" t="s">
        <v>35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44531</v>
      </c>
      <c r="J217" s="6">
        <v>0</v>
      </c>
      <c r="K217" s="6">
        <v>0</v>
      </c>
      <c r="L217" s="6">
        <v>589.98400000000004</v>
      </c>
      <c r="M217" s="6">
        <v>589.98400000000004</v>
      </c>
      <c r="N217" s="6">
        <v>589.98400000000004</v>
      </c>
      <c r="O217" s="6">
        <v>589.98400000000004</v>
      </c>
      <c r="P217" s="6">
        <v>612</v>
      </c>
      <c r="Q217" s="4" t="s">
        <v>26</v>
      </c>
      <c r="R217" s="4">
        <v>0</v>
      </c>
      <c r="S217" s="4" t="s">
        <v>205</v>
      </c>
      <c r="T217" s="4" t="s">
        <v>330</v>
      </c>
      <c r="U217" s="4">
        <v>0</v>
      </c>
      <c r="V217" s="4">
        <v>55</v>
      </c>
      <c r="W217" s="4">
        <v>6</v>
      </c>
    </row>
    <row r="218" spans="1:23" ht="11.25" customHeight="1" x14ac:dyDescent="0.3">
      <c r="A218" s="4" t="s">
        <v>27</v>
      </c>
      <c r="B218" s="4" t="s">
        <v>33</v>
      </c>
      <c r="C218" s="4" t="s">
        <v>23</v>
      </c>
      <c r="D218" s="4" t="s">
        <v>35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-5.0000000000000001E-3</v>
      </c>
      <c r="M218" s="6">
        <v>-5.0000000000000001E-3</v>
      </c>
      <c r="N218" s="6">
        <v>-5.0000000000000001E-3</v>
      </c>
      <c r="O218" s="6">
        <v>-5.0000000000000001E-3</v>
      </c>
      <c r="P218" s="6">
        <v>0</v>
      </c>
      <c r="Q218" s="4" t="s">
        <v>26</v>
      </c>
      <c r="R218" s="4">
        <v>0</v>
      </c>
      <c r="S218" s="4" t="s">
        <v>205</v>
      </c>
      <c r="T218" s="4" t="s">
        <v>330</v>
      </c>
      <c r="U218" s="4">
        <v>0</v>
      </c>
      <c r="V218" s="4">
        <v>55</v>
      </c>
      <c r="W218" s="4">
        <v>6</v>
      </c>
    </row>
    <row r="219" spans="1:23" ht="11.25" customHeight="1" x14ac:dyDescent="0.3">
      <c r="A219" s="4" t="s">
        <v>28</v>
      </c>
      <c r="B219" s="4" t="s">
        <v>33</v>
      </c>
      <c r="C219" s="4" t="s">
        <v>23</v>
      </c>
      <c r="D219" s="4" t="s">
        <v>35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44531</v>
      </c>
      <c r="J219" s="6">
        <v>0</v>
      </c>
      <c r="K219" s="6">
        <v>0</v>
      </c>
      <c r="L219" s="6">
        <v>10.044</v>
      </c>
      <c r="M219" s="6">
        <v>10.044</v>
      </c>
      <c r="N219" s="6">
        <v>10.044</v>
      </c>
      <c r="O219" s="6">
        <v>10.044</v>
      </c>
      <c r="P219" s="6">
        <v>7</v>
      </c>
      <c r="Q219" s="4" t="s">
        <v>26</v>
      </c>
      <c r="R219" s="4">
        <v>0</v>
      </c>
      <c r="S219" s="4" t="s">
        <v>205</v>
      </c>
      <c r="T219" s="4" t="s">
        <v>330</v>
      </c>
      <c r="U219" s="4">
        <v>0</v>
      </c>
      <c r="V219" s="4">
        <v>55</v>
      </c>
      <c r="W219" s="4">
        <v>6</v>
      </c>
    </row>
    <row r="220" spans="1:23" ht="11.25" customHeight="1" x14ac:dyDescent="0.3">
      <c r="A220" s="4" t="s">
        <v>21</v>
      </c>
      <c r="B220" s="4" t="s">
        <v>33</v>
      </c>
      <c r="C220" s="4" t="s">
        <v>23</v>
      </c>
      <c r="D220" s="4" t="s">
        <v>35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44562</v>
      </c>
      <c r="J220" s="6">
        <v>0</v>
      </c>
      <c r="K220" s="6">
        <v>0</v>
      </c>
      <c r="L220" s="6">
        <v>597.91099999999994</v>
      </c>
      <c r="M220" s="6">
        <v>597.91099999999994</v>
      </c>
      <c r="N220" s="6">
        <v>597.91099999999994</v>
      </c>
      <c r="O220" s="6">
        <v>597.91099999999994</v>
      </c>
      <c r="P220" s="6">
        <v>608</v>
      </c>
      <c r="Q220" s="4" t="s">
        <v>26</v>
      </c>
      <c r="R220" s="4">
        <v>0</v>
      </c>
      <c r="S220" s="4" t="s">
        <v>206</v>
      </c>
      <c r="T220" s="4" t="s">
        <v>331</v>
      </c>
      <c r="U220" s="4">
        <v>0</v>
      </c>
      <c r="V220" s="4">
        <v>55</v>
      </c>
      <c r="W220" s="4">
        <v>6</v>
      </c>
    </row>
    <row r="221" spans="1:23" ht="11.25" customHeight="1" x14ac:dyDescent="0.3">
      <c r="A221" s="4" t="s">
        <v>27</v>
      </c>
      <c r="B221" s="4" t="s">
        <v>33</v>
      </c>
      <c r="C221" s="4" t="s">
        <v>23</v>
      </c>
      <c r="D221" s="4" t="s">
        <v>35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-5.976</v>
      </c>
      <c r="M221" s="6">
        <v>-5.976</v>
      </c>
      <c r="N221" s="6">
        <v>-5.976</v>
      </c>
      <c r="O221" s="6">
        <v>-5.976</v>
      </c>
      <c r="P221" s="6">
        <v>0</v>
      </c>
      <c r="Q221" s="4" t="s">
        <v>26</v>
      </c>
      <c r="R221" s="4">
        <v>0</v>
      </c>
      <c r="S221" s="4" t="s">
        <v>206</v>
      </c>
      <c r="T221" s="4" t="s">
        <v>331</v>
      </c>
      <c r="U221" s="4">
        <v>0</v>
      </c>
      <c r="V221" s="4">
        <v>55</v>
      </c>
      <c r="W221" s="4">
        <v>6</v>
      </c>
    </row>
    <row r="222" spans="1:23" ht="11.25" customHeight="1" x14ac:dyDescent="0.3">
      <c r="A222" s="4" t="s">
        <v>28</v>
      </c>
      <c r="B222" s="4" t="s">
        <v>33</v>
      </c>
      <c r="C222" s="4" t="s">
        <v>23</v>
      </c>
      <c r="D222" s="4" t="s">
        <v>35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0</v>
      </c>
      <c r="K222" s="6">
        <v>0</v>
      </c>
      <c r="L222" s="6">
        <v>16.041</v>
      </c>
      <c r="M222" s="6">
        <v>16.041</v>
      </c>
      <c r="N222" s="6">
        <v>16.041</v>
      </c>
      <c r="O222" s="6">
        <v>16.041</v>
      </c>
      <c r="P222" s="6">
        <v>10</v>
      </c>
      <c r="Q222" s="4" t="s">
        <v>26</v>
      </c>
      <c r="R222" s="4">
        <v>0</v>
      </c>
      <c r="S222" s="4" t="s">
        <v>206</v>
      </c>
      <c r="T222" s="4" t="s">
        <v>331</v>
      </c>
      <c r="U222" s="4">
        <v>0</v>
      </c>
      <c r="V222" s="4">
        <v>55</v>
      </c>
      <c r="W222" s="4">
        <v>6</v>
      </c>
    </row>
    <row r="223" spans="1:23" ht="11.25" customHeight="1" x14ac:dyDescent="0.3">
      <c r="A223" s="4" t="s">
        <v>21</v>
      </c>
      <c r="B223" s="4" t="s">
        <v>33</v>
      </c>
      <c r="C223" s="4" t="s">
        <v>23</v>
      </c>
      <c r="D223" s="4" t="s">
        <v>35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44593</v>
      </c>
      <c r="J223" s="6">
        <v>0</v>
      </c>
      <c r="K223" s="6">
        <v>0</v>
      </c>
      <c r="L223" s="6">
        <v>542.80700000000002</v>
      </c>
      <c r="M223" s="6">
        <v>542.80700000000002</v>
      </c>
      <c r="N223" s="6">
        <v>542.80700000000002</v>
      </c>
      <c r="O223" s="6">
        <v>542.80700000000002</v>
      </c>
      <c r="P223" s="6">
        <v>607</v>
      </c>
      <c r="Q223" s="4" t="s">
        <v>26</v>
      </c>
      <c r="R223" s="4">
        <v>0</v>
      </c>
      <c r="S223" s="4" t="s">
        <v>207</v>
      </c>
      <c r="T223" s="4" t="s">
        <v>332</v>
      </c>
      <c r="U223" s="4">
        <v>0</v>
      </c>
      <c r="V223" s="4">
        <v>55</v>
      </c>
      <c r="W223" s="4">
        <v>6</v>
      </c>
    </row>
    <row r="224" spans="1:23" ht="11.25" customHeight="1" x14ac:dyDescent="0.3">
      <c r="A224" s="4" t="s">
        <v>28</v>
      </c>
      <c r="B224" s="4" t="s">
        <v>33</v>
      </c>
      <c r="C224" s="4" t="s">
        <v>23</v>
      </c>
      <c r="D224" s="4" t="s">
        <v>35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44593</v>
      </c>
      <c r="J224" s="6">
        <v>0</v>
      </c>
      <c r="K224" s="6">
        <v>0</v>
      </c>
      <c r="L224" s="6">
        <v>14.662000000000001</v>
      </c>
      <c r="M224" s="6">
        <v>14.662000000000001</v>
      </c>
      <c r="N224" s="6">
        <v>14.662000000000001</v>
      </c>
      <c r="O224" s="6">
        <v>14.662000000000001</v>
      </c>
      <c r="P224" s="6">
        <v>11</v>
      </c>
      <c r="Q224" s="4" t="s">
        <v>26</v>
      </c>
      <c r="R224" s="4">
        <v>0</v>
      </c>
      <c r="S224" s="4" t="s">
        <v>207</v>
      </c>
      <c r="T224" s="4" t="s">
        <v>332</v>
      </c>
      <c r="U224" s="4">
        <v>0</v>
      </c>
      <c r="V224" s="4">
        <v>55</v>
      </c>
      <c r="W224" s="4">
        <v>6</v>
      </c>
    </row>
    <row r="225" spans="1:23" ht="11.25" customHeight="1" x14ac:dyDescent="0.3">
      <c r="A225" s="4" t="s">
        <v>21</v>
      </c>
      <c r="B225" s="4" t="s">
        <v>33</v>
      </c>
      <c r="C225" s="4" t="s">
        <v>23</v>
      </c>
      <c r="D225" s="4" t="s">
        <v>35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44621</v>
      </c>
      <c r="J225" s="6">
        <v>0</v>
      </c>
      <c r="K225" s="6">
        <v>0</v>
      </c>
      <c r="L225" s="6">
        <v>554.46699999999998</v>
      </c>
      <c r="M225" s="6">
        <v>554.46699999999998</v>
      </c>
      <c r="N225" s="6">
        <v>554.46699999999998</v>
      </c>
      <c r="O225" s="6">
        <v>554.46699999999998</v>
      </c>
      <c r="P225" s="6">
        <v>602</v>
      </c>
      <c r="Q225" s="4" t="s">
        <v>26</v>
      </c>
      <c r="R225" s="4">
        <v>0</v>
      </c>
      <c r="S225" s="4" t="s">
        <v>208</v>
      </c>
      <c r="T225" s="4" t="s">
        <v>333</v>
      </c>
      <c r="U225" s="4">
        <v>0</v>
      </c>
      <c r="V225" s="4">
        <v>55</v>
      </c>
      <c r="W225" s="4">
        <v>6</v>
      </c>
    </row>
    <row r="226" spans="1:23" ht="11.25" customHeight="1" x14ac:dyDescent="0.3">
      <c r="A226" s="4" t="s">
        <v>28</v>
      </c>
      <c r="B226" s="4" t="s">
        <v>33</v>
      </c>
      <c r="C226" s="4" t="s">
        <v>23</v>
      </c>
      <c r="D226" s="4" t="s">
        <v>35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44621</v>
      </c>
      <c r="J226" s="6">
        <v>0</v>
      </c>
      <c r="K226" s="6">
        <v>0</v>
      </c>
      <c r="L226" s="6">
        <v>30.631</v>
      </c>
      <c r="M226" s="6">
        <v>30.631</v>
      </c>
      <c r="N226" s="6">
        <v>30.631</v>
      </c>
      <c r="O226" s="6">
        <v>30.631</v>
      </c>
      <c r="P226" s="6">
        <v>16</v>
      </c>
      <c r="Q226" s="4" t="s">
        <v>26</v>
      </c>
      <c r="R226" s="4">
        <v>0</v>
      </c>
      <c r="S226" s="4" t="s">
        <v>208</v>
      </c>
      <c r="T226" s="4" t="s">
        <v>333</v>
      </c>
      <c r="U226" s="4">
        <v>0</v>
      </c>
      <c r="V226" s="4">
        <v>55</v>
      </c>
      <c r="W226" s="4">
        <v>6</v>
      </c>
    </row>
    <row r="227" spans="1:23" ht="11.25" customHeight="1" x14ac:dyDescent="0.3">
      <c r="A227" s="4" t="s">
        <v>21</v>
      </c>
      <c r="B227" s="4" t="s">
        <v>33</v>
      </c>
      <c r="C227" s="4" t="s">
        <v>23</v>
      </c>
      <c r="D227" s="4" t="s">
        <v>48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44287</v>
      </c>
      <c r="J227" s="6">
        <v>0</v>
      </c>
      <c r="K227" s="6">
        <v>0</v>
      </c>
      <c r="L227" s="6">
        <v>2.3029999999999999</v>
      </c>
      <c r="M227" s="6">
        <v>2.3029999999999999</v>
      </c>
      <c r="N227" s="6">
        <v>2.3029999999999999</v>
      </c>
      <c r="O227" s="6">
        <v>2.3029999999999999</v>
      </c>
      <c r="P227" s="6">
        <v>1</v>
      </c>
      <c r="Q227" s="4" t="s">
        <v>26</v>
      </c>
      <c r="R227" s="4">
        <v>0</v>
      </c>
      <c r="S227" s="4" t="s">
        <v>197</v>
      </c>
      <c r="T227" s="4" t="s">
        <v>322</v>
      </c>
      <c r="U227" s="4">
        <v>0</v>
      </c>
      <c r="V227" s="4">
        <v>55</v>
      </c>
      <c r="W227" s="4">
        <v>6</v>
      </c>
    </row>
    <row r="228" spans="1:23" ht="11.25" customHeight="1" x14ac:dyDescent="0.3">
      <c r="A228" s="4" t="s">
        <v>21</v>
      </c>
      <c r="B228" s="4" t="s">
        <v>33</v>
      </c>
      <c r="C228" s="4" t="s">
        <v>23</v>
      </c>
      <c r="D228" s="4" t="s">
        <v>48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44317</v>
      </c>
      <c r="J228" s="6">
        <v>0</v>
      </c>
      <c r="K228" s="6">
        <v>0</v>
      </c>
      <c r="L228" s="6">
        <v>1.4079999999999999</v>
      </c>
      <c r="M228" s="6">
        <v>1.4079999999999999</v>
      </c>
      <c r="N228" s="6">
        <v>1.4079999999999999</v>
      </c>
      <c r="O228" s="6">
        <v>1.4079999999999999</v>
      </c>
      <c r="P228" s="6">
        <v>1</v>
      </c>
      <c r="Q228" s="4" t="s">
        <v>26</v>
      </c>
      <c r="R228" s="4">
        <v>0</v>
      </c>
      <c r="S228" s="4" t="s">
        <v>198</v>
      </c>
      <c r="T228" s="4" t="s">
        <v>323</v>
      </c>
      <c r="U228" s="4">
        <v>0</v>
      </c>
      <c r="V228" s="4">
        <v>55</v>
      </c>
      <c r="W228" s="4">
        <v>6</v>
      </c>
    </row>
    <row r="229" spans="1:23" ht="11.25" customHeight="1" x14ac:dyDescent="0.3">
      <c r="A229" s="4" t="s">
        <v>21</v>
      </c>
      <c r="B229" s="4" t="s">
        <v>33</v>
      </c>
      <c r="C229" s="4" t="s">
        <v>23</v>
      </c>
      <c r="D229" s="4" t="s">
        <v>48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44348</v>
      </c>
      <c r="J229" s="6">
        <v>0</v>
      </c>
      <c r="K229" s="6">
        <v>0</v>
      </c>
      <c r="L229" s="6">
        <v>1.1579999999999999</v>
      </c>
      <c r="M229" s="6">
        <v>1.1579999999999999</v>
      </c>
      <c r="N229" s="6">
        <v>1.1579999999999999</v>
      </c>
      <c r="O229" s="6">
        <v>1.1579999999999999</v>
      </c>
      <c r="P229" s="6">
        <v>1</v>
      </c>
      <c r="Q229" s="4" t="s">
        <v>26</v>
      </c>
      <c r="R229" s="4">
        <v>0</v>
      </c>
      <c r="S229" s="4" t="s">
        <v>199</v>
      </c>
      <c r="T229" s="4" t="s">
        <v>324</v>
      </c>
      <c r="U229" s="4">
        <v>0</v>
      </c>
      <c r="V229" s="4">
        <v>55</v>
      </c>
      <c r="W229" s="4">
        <v>6</v>
      </c>
    </row>
    <row r="230" spans="1:23" ht="11.25" customHeight="1" x14ac:dyDescent="0.3">
      <c r="A230" s="4" t="s">
        <v>21</v>
      </c>
      <c r="B230" s="4" t="s">
        <v>33</v>
      </c>
      <c r="C230" s="4" t="s">
        <v>23</v>
      </c>
      <c r="D230" s="4" t="s">
        <v>48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44378</v>
      </c>
      <c r="J230" s="6">
        <v>0</v>
      </c>
      <c r="K230" s="6">
        <v>0</v>
      </c>
      <c r="L230" s="6">
        <v>1.0029999999999999</v>
      </c>
      <c r="M230" s="6">
        <v>1.0029999999999999</v>
      </c>
      <c r="N230" s="6">
        <v>1.0029999999999999</v>
      </c>
      <c r="O230" s="6">
        <v>1.0029999999999999</v>
      </c>
      <c r="P230" s="6">
        <v>1</v>
      </c>
      <c r="Q230" s="4" t="s">
        <v>26</v>
      </c>
      <c r="R230" s="4">
        <v>0</v>
      </c>
      <c r="S230" s="4" t="s">
        <v>200</v>
      </c>
      <c r="T230" s="4" t="s">
        <v>325</v>
      </c>
      <c r="U230" s="4">
        <v>0</v>
      </c>
      <c r="V230" s="4">
        <v>55</v>
      </c>
      <c r="W230" s="4">
        <v>6</v>
      </c>
    </row>
    <row r="231" spans="1:23" ht="11.25" customHeight="1" x14ac:dyDescent="0.3">
      <c r="A231" s="4" t="s">
        <v>21</v>
      </c>
      <c r="B231" s="4" t="s">
        <v>33</v>
      </c>
      <c r="C231" s="4" t="s">
        <v>23</v>
      </c>
      <c r="D231" s="4" t="s">
        <v>48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44409</v>
      </c>
      <c r="J231" s="6">
        <v>0</v>
      </c>
      <c r="K231" s="6">
        <v>0</v>
      </c>
      <c r="L231" s="6">
        <v>1.109</v>
      </c>
      <c r="M231" s="6">
        <v>1.109</v>
      </c>
      <c r="N231" s="6">
        <v>1.109</v>
      </c>
      <c r="O231" s="6">
        <v>1.109</v>
      </c>
      <c r="P231" s="6">
        <v>1</v>
      </c>
      <c r="Q231" s="4" t="s">
        <v>26</v>
      </c>
      <c r="R231" s="4">
        <v>0</v>
      </c>
      <c r="S231" s="4" t="s">
        <v>201</v>
      </c>
      <c r="T231" s="4" t="s">
        <v>326</v>
      </c>
      <c r="U231" s="4">
        <v>0</v>
      </c>
      <c r="V231" s="4">
        <v>55</v>
      </c>
      <c r="W231" s="4">
        <v>6</v>
      </c>
    </row>
    <row r="232" spans="1:23" ht="11.25" customHeight="1" x14ac:dyDescent="0.3">
      <c r="A232" s="4" t="s">
        <v>21</v>
      </c>
      <c r="B232" s="4" t="s">
        <v>33</v>
      </c>
      <c r="C232" s="4" t="s">
        <v>23</v>
      </c>
      <c r="D232" s="4" t="s">
        <v>48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44440</v>
      </c>
      <c r="J232" s="6">
        <v>0</v>
      </c>
      <c r="K232" s="6">
        <v>0</v>
      </c>
      <c r="L232" s="6">
        <v>2.149</v>
      </c>
      <c r="M232" s="6">
        <v>2.149</v>
      </c>
      <c r="N232" s="6">
        <v>2.149</v>
      </c>
      <c r="O232" s="6">
        <v>2.149</v>
      </c>
      <c r="P232" s="6">
        <v>1</v>
      </c>
      <c r="Q232" s="4" t="s">
        <v>26</v>
      </c>
      <c r="R232" s="4">
        <v>0</v>
      </c>
      <c r="S232" s="4" t="s">
        <v>202</v>
      </c>
      <c r="T232" s="4" t="s">
        <v>327</v>
      </c>
      <c r="U232" s="4">
        <v>0</v>
      </c>
      <c r="V232" s="4">
        <v>55</v>
      </c>
      <c r="W232" s="4">
        <v>6</v>
      </c>
    </row>
    <row r="233" spans="1:23" ht="11.25" customHeight="1" x14ac:dyDescent="0.3">
      <c r="A233" s="4" t="s">
        <v>21</v>
      </c>
      <c r="B233" s="4" t="s">
        <v>33</v>
      </c>
      <c r="C233" s="4" t="s">
        <v>23</v>
      </c>
      <c r="D233" s="4" t="s">
        <v>48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44470</v>
      </c>
      <c r="J233" s="6">
        <v>0</v>
      </c>
      <c r="K233" s="6">
        <v>0</v>
      </c>
      <c r="L233" s="6">
        <v>2.2170000000000001</v>
      </c>
      <c r="M233" s="6">
        <v>2.2170000000000001</v>
      </c>
      <c r="N233" s="6">
        <v>2.2170000000000001</v>
      </c>
      <c r="O233" s="6">
        <v>2.2170000000000001</v>
      </c>
      <c r="P233" s="6">
        <v>1</v>
      </c>
      <c r="Q233" s="4" t="s">
        <v>26</v>
      </c>
      <c r="R233" s="4">
        <v>0</v>
      </c>
      <c r="S233" s="4" t="s">
        <v>203</v>
      </c>
      <c r="T233" s="4" t="s">
        <v>328</v>
      </c>
      <c r="U233" s="4">
        <v>0</v>
      </c>
      <c r="V233" s="4">
        <v>55</v>
      </c>
      <c r="W233" s="4">
        <v>6</v>
      </c>
    </row>
    <row r="234" spans="1:23" ht="11.25" customHeight="1" x14ac:dyDescent="0.3">
      <c r="A234" s="4" t="s">
        <v>21</v>
      </c>
      <c r="B234" s="4" t="s">
        <v>33</v>
      </c>
      <c r="C234" s="4" t="s">
        <v>23</v>
      </c>
      <c r="D234" s="4" t="s">
        <v>48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44501</v>
      </c>
      <c r="J234" s="6">
        <v>0</v>
      </c>
      <c r="K234" s="6">
        <v>0</v>
      </c>
      <c r="L234" s="6">
        <v>2.0489999999999999</v>
      </c>
      <c r="M234" s="6">
        <v>2.0489999999999999</v>
      </c>
      <c r="N234" s="6">
        <v>2.0489999999999999</v>
      </c>
      <c r="O234" s="6">
        <v>2.0489999999999999</v>
      </c>
      <c r="P234" s="6">
        <v>1</v>
      </c>
      <c r="Q234" s="4" t="s">
        <v>26</v>
      </c>
      <c r="R234" s="4">
        <v>0</v>
      </c>
      <c r="S234" s="4" t="s">
        <v>204</v>
      </c>
      <c r="T234" s="4" t="s">
        <v>329</v>
      </c>
      <c r="U234" s="4">
        <v>0</v>
      </c>
      <c r="V234" s="4">
        <v>55</v>
      </c>
      <c r="W234" s="4">
        <v>6</v>
      </c>
    </row>
    <row r="235" spans="1:23" ht="11.25" customHeight="1" x14ac:dyDescent="0.3">
      <c r="A235" s="4" t="s">
        <v>21</v>
      </c>
      <c r="B235" s="4" t="s">
        <v>33</v>
      </c>
      <c r="C235" s="4" t="s">
        <v>23</v>
      </c>
      <c r="D235" s="4" t="s">
        <v>48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44531</v>
      </c>
      <c r="J235" s="6">
        <v>0</v>
      </c>
      <c r="K235" s="6">
        <v>0</v>
      </c>
      <c r="L235" s="6">
        <v>2.4540000000000002</v>
      </c>
      <c r="M235" s="6">
        <v>2.4540000000000002</v>
      </c>
      <c r="N235" s="6">
        <v>2.4540000000000002</v>
      </c>
      <c r="O235" s="6">
        <v>2.4540000000000002</v>
      </c>
      <c r="P235" s="6">
        <v>1</v>
      </c>
      <c r="Q235" s="4" t="s">
        <v>26</v>
      </c>
      <c r="R235" s="4">
        <v>0</v>
      </c>
      <c r="S235" s="4" t="s">
        <v>205</v>
      </c>
      <c r="T235" s="4" t="s">
        <v>330</v>
      </c>
      <c r="U235" s="4">
        <v>0</v>
      </c>
      <c r="V235" s="4">
        <v>55</v>
      </c>
      <c r="W235" s="4">
        <v>6</v>
      </c>
    </row>
    <row r="236" spans="1:23" ht="11.25" customHeight="1" x14ac:dyDescent="0.3">
      <c r="A236" s="4" t="s">
        <v>21</v>
      </c>
      <c r="B236" s="4" t="s">
        <v>33</v>
      </c>
      <c r="C236" s="4" t="s">
        <v>23</v>
      </c>
      <c r="D236" s="4" t="s">
        <v>48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44562</v>
      </c>
      <c r="J236" s="6">
        <v>0</v>
      </c>
      <c r="K236" s="6">
        <v>0</v>
      </c>
      <c r="L236" s="6">
        <v>1.929</v>
      </c>
      <c r="M236" s="6">
        <v>1.929</v>
      </c>
      <c r="N236" s="6">
        <v>1.929</v>
      </c>
      <c r="O236" s="6">
        <v>1.929</v>
      </c>
      <c r="P236" s="6">
        <v>1</v>
      </c>
      <c r="Q236" s="4" t="s">
        <v>26</v>
      </c>
      <c r="R236" s="4">
        <v>0</v>
      </c>
      <c r="S236" s="4" t="s">
        <v>206</v>
      </c>
      <c r="T236" s="4" t="s">
        <v>331</v>
      </c>
      <c r="U236" s="4">
        <v>0</v>
      </c>
      <c r="V236" s="4">
        <v>55</v>
      </c>
      <c r="W236" s="4">
        <v>6</v>
      </c>
    </row>
    <row r="237" spans="1:23" ht="11.25" customHeight="1" x14ac:dyDescent="0.3">
      <c r="A237" s="4" t="s">
        <v>21</v>
      </c>
      <c r="B237" s="4" t="s">
        <v>33</v>
      </c>
      <c r="C237" s="4" t="s">
        <v>23</v>
      </c>
      <c r="D237" s="4" t="s">
        <v>48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2.7389999999999999</v>
      </c>
      <c r="M237" s="6">
        <v>2.7389999999999999</v>
      </c>
      <c r="N237" s="6">
        <v>2.7389999999999999</v>
      </c>
      <c r="O237" s="6">
        <v>2.7389999999999999</v>
      </c>
      <c r="P237" s="6">
        <v>1</v>
      </c>
      <c r="Q237" s="4" t="s">
        <v>26</v>
      </c>
      <c r="R237" s="4">
        <v>0</v>
      </c>
      <c r="S237" s="4" t="s">
        <v>207</v>
      </c>
      <c r="T237" s="4" t="s">
        <v>332</v>
      </c>
      <c r="U237" s="4">
        <v>0</v>
      </c>
      <c r="V237" s="4">
        <v>55</v>
      </c>
      <c r="W237" s="4">
        <v>6</v>
      </c>
    </row>
    <row r="238" spans="1:23" ht="11.25" customHeight="1" x14ac:dyDescent="0.3">
      <c r="A238" s="4" t="s">
        <v>21</v>
      </c>
      <c r="B238" s="4" t="s">
        <v>33</v>
      </c>
      <c r="C238" s="4" t="s">
        <v>23</v>
      </c>
      <c r="D238" s="4" t="s">
        <v>48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3.8340000000000001</v>
      </c>
      <c r="M238" s="6">
        <v>3.8340000000000001</v>
      </c>
      <c r="N238" s="6">
        <v>3.8340000000000001</v>
      </c>
      <c r="O238" s="6">
        <v>3.8340000000000001</v>
      </c>
      <c r="P238" s="6">
        <v>1</v>
      </c>
      <c r="Q238" s="4" t="s">
        <v>26</v>
      </c>
      <c r="R238" s="4">
        <v>0</v>
      </c>
      <c r="S238" s="4" t="s">
        <v>208</v>
      </c>
      <c r="T238" s="4" t="s">
        <v>333</v>
      </c>
      <c r="U238" s="4">
        <v>0</v>
      </c>
      <c r="V238" s="4">
        <v>55</v>
      </c>
      <c r="W238" s="4">
        <v>6</v>
      </c>
    </row>
    <row r="239" spans="1:23" ht="11.25" customHeight="1" x14ac:dyDescent="0.3">
      <c r="A239" s="4" t="s">
        <v>21</v>
      </c>
      <c r="B239" s="4" t="s">
        <v>33</v>
      </c>
      <c r="C239" s="4" t="s">
        <v>23</v>
      </c>
      <c r="D239" s="4" t="s">
        <v>34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44287</v>
      </c>
      <c r="J239" s="6">
        <v>0</v>
      </c>
      <c r="K239" s="6">
        <v>0</v>
      </c>
      <c r="L239" s="6">
        <v>14.379</v>
      </c>
      <c r="M239" s="6">
        <v>14.379</v>
      </c>
      <c r="N239" s="6">
        <v>14.379</v>
      </c>
      <c r="O239" s="6">
        <v>14.379</v>
      </c>
      <c r="P239" s="6">
        <v>3</v>
      </c>
      <c r="Q239" s="4" t="s">
        <v>26</v>
      </c>
      <c r="R239" s="4">
        <v>0</v>
      </c>
      <c r="S239" s="4" t="s">
        <v>197</v>
      </c>
      <c r="T239" s="4" t="s">
        <v>322</v>
      </c>
      <c r="U239" s="4">
        <v>0</v>
      </c>
      <c r="V239" s="4">
        <v>55</v>
      </c>
      <c r="W239" s="4">
        <v>6</v>
      </c>
    </row>
    <row r="240" spans="1:23" ht="11.25" customHeight="1" x14ac:dyDescent="0.3">
      <c r="A240" s="4" t="s">
        <v>28</v>
      </c>
      <c r="B240" s="4" t="s">
        <v>33</v>
      </c>
      <c r="C240" s="4" t="s">
        <v>23</v>
      </c>
      <c r="D240" s="4" t="s">
        <v>34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44287</v>
      </c>
      <c r="J240" s="6">
        <v>0</v>
      </c>
      <c r="K240" s="6">
        <v>0</v>
      </c>
      <c r="L240" s="6">
        <v>0.495</v>
      </c>
      <c r="M240" s="6">
        <v>0.495</v>
      </c>
      <c r="N240" s="6">
        <v>0.495</v>
      </c>
      <c r="O240" s="6">
        <v>0.495</v>
      </c>
      <c r="P240" s="6">
        <v>1</v>
      </c>
      <c r="Q240" s="4" t="s">
        <v>26</v>
      </c>
      <c r="R240" s="4">
        <v>0</v>
      </c>
      <c r="S240" s="4" t="s">
        <v>197</v>
      </c>
      <c r="T240" s="4" t="s">
        <v>322</v>
      </c>
      <c r="U240" s="4">
        <v>0</v>
      </c>
      <c r="V240" s="4">
        <v>55</v>
      </c>
      <c r="W240" s="4">
        <v>6</v>
      </c>
    </row>
    <row r="241" spans="1:23" ht="11.25" customHeight="1" x14ac:dyDescent="0.3">
      <c r="A241" s="4" t="s">
        <v>21</v>
      </c>
      <c r="B241" s="4" t="s">
        <v>33</v>
      </c>
      <c r="C241" s="4" t="s">
        <v>23</v>
      </c>
      <c r="D241" s="4" t="s">
        <v>34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44317</v>
      </c>
      <c r="J241" s="6">
        <v>0</v>
      </c>
      <c r="K241" s="6">
        <v>0</v>
      </c>
      <c r="L241" s="6">
        <v>13.557</v>
      </c>
      <c r="M241" s="6">
        <v>13.557</v>
      </c>
      <c r="N241" s="6">
        <v>13.557</v>
      </c>
      <c r="O241" s="6">
        <v>13.557</v>
      </c>
      <c r="P241" s="6">
        <v>3</v>
      </c>
      <c r="Q241" s="4" t="s">
        <v>26</v>
      </c>
      <c r="R241" s="4">
        <v>0</v>
      </c>
      <c r="S241" s="4" t="s">
        <v>198</v>
      </c>
      <c r="T241" s="4" t="s">
        <v>323</v>
      </c>
      <c r="U241" s="4">
        <v>0</v>
      </c>
      <c r="V241" s="4">
        <v>55</v>
      </c>
      <c r="W241" s="4">
        <v>6</v>
      </c>
    </row>
    <row r="242" spans="1:23" ht="11.25" customHeight="1" x14ac:dyDescent="0.3">
      <c r="A242" s="4" t="s">
        <v>28</v>
      </c>
      <c r="B242" s="4" t="s">
        <v>33</v>
      </c>
      <c r="C242" s="4" t="s">
        <v>23</v>
      </c>
      <c r="D242" s="4" t="s">
        <v>34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44317</v>
      </c>
      <c r="J242" s="6">
        <v>0</v>
      </c>
      <c r="K242" s="6">
        <v>0</v>
      </c>
      <c r="L242" s="6">
        <v>1.4350000000000001</v>
      </c>
      <c r="M242" s="6">
        <v>1.4350000000000001</v>
      </c>
      <c r="N242" s="6">
        <v>1.4350000000000001</v>
      </c>
      <c r="O242" s="6">
        <v>1.4350000000000001</v>
      </c>
      <c r="P242" s="6">
        <v>1</v>
      </c>
      <c r="Q242" s="4" t="s">
        <v>26</v>
      </c>
      <c r="R242" s="4">
        <v>0</v>
      </c>
      <c r="S242" s="4" t="s">
        <v>198</v>
      </c>
      <c r="T242" s="4" t="s">
        <v>323</v>
      </c>
      <c r="U242" s="4">
        <v>0</v>
      </c>
      <c r="V242" s="4">
        <v>55</v>
      </c>
      <c r="W242" s="4">
        <v>6</v>
      </c>
    </row>
    <row r="243" spans="1:23" ht="11.25" customHeight="1" x14ac:dyDescent="0.3">
      <c r="A243" s="4" t="s">
        <v>21</v>
      </c>
      <c r="B243" s="4" t="s">
        <v>33</v>
      </c>
      <c r="C243" s="4" t="s">
        <v>23</v>
      </c>
      <c r="D243" s="4" t="s">
        <v>34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44348</v>
      </c>
      <c r="J243" s="6">
        <v>0</v>
      </c>
      <c r="K243" s="6">
        <v>0</v>
      </c>
      <c r="L243" s="6">
        <v>12.391999999999999</v>
      </c>
      <c r="M243" s="6">
        <v>12.391999999999999</v>
      </c>
      <c r="N243" s="6">
        <v>12.391999999999999</v>
      </c>
      <c r="O243" s="6">
        <v>12.391999999999999</v>
      </c>
      <c r="P243" s="6">
        <v>3</v>
      </c>
      <c r="Q243" s="4" t="s">
        <v>26</v>
      </c>
      <c r="R243" s="4">
        <v>0</v>
      </c>
      <c r="S243" s="4" t="s">
        <v>199</v>
      </c>
      <c r="T243" s="4" t="s">
        <v>324</v>
      </c>
      <c r="U243" s="4">
        <v>0</v>
      </c>
      <c r="V243" s="4">
        <v>55</v>
      </c>
      <c r="W243" s="4">
        <v>6</v>
      </c>
    </row>
    <row r="244" spans="1:23" ht="11.25" customHeight="1" x14ac:dyDescent="0.3">
      <c r="A244" s="4" t="s">
        <v>28</v>
      </c>
      <c r="B244" s="4" t="s">
        <v>33</v>
      </c>
      <c r="C244" s="4" t="s">
        <v>23</v>
      </c>
      <c r="D244" s="4" t="s">
        <v>34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44348</v>
      </c>
      <c r="J244" s="6">
        <v>0</v>
      </c>
      <c r="K244" s="6">
        <v>0</v>
      </c>
      <c r="L244" s="6">
        <v>1.054</v>
      </c>
      <c r="M244" s="6">
        <v>1.054</v>
      </c>
      <c r="N244" s="6">
        <v>1.054</v>
      </c>
      <c r="O244" s="6">
        <v>1.054</v>
      </c>
      <c r="P244" s="6">
        <v>1</v>
      </c>
      <c r="Q244" s="4" t="s">
        <v>26</v>
      </c>
      <c r="R244" s="4">
        <v>0</v>
      </c>
      <c r="S244" s="4" t="s">
        <v>199</v>
      </c>
      <c r="T244" s="4" t="s">
        <v>324</v>
      </c>
      <c r="U244" s="4">
        <v>0</v>
      </c>
      <c r="V244" s="4">
        <v>55</v>
      </c>
      <c r="W244" s="4">
        <v>6</v>
      </c>
    </row>
    <row r="245" spans="1:23" ht="11.25" customHeight="1" x14ac:dyDescent="0.3">
      <c r="A245" s="4" t="s">
        <v>21</v>
      </c>
      <c r="B245" s="4" t="s">
        <v>33</v>
      </c>
      <c r="C245" s="4" t="s">
        <v>23</v>
      </c>
      <c r="D245" s="4" t="s">
        <v>34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44378</v>
      </c>
      <c r="J245" s="6">
        <v>0</v>
      </c>
      <c r="K245" s="6">
        <v>0</v>
      </c>
      <c r="L245" s="6">
        <v>10.443</v>
      </c>
      <c r="M245" s="6">
        <v>10.443</v>
      </c>
      <c r="N245" s="6">
        <v>10.443</v>
      </c>
      <c r="O245" s="6">
        <v>10.443</v>
      </c>
      <c r="P245" s="6">
        <v>3</v>
      </c>
      <c r="Q245" s="4" t="s">
        <v>26</v>
      </c>
      <c r="R245" s="4">
        <v>0</v>
      </c>
      <c r="S245" s="4" t="s">
        <v>200</v>
      </c>
      <c r="T245" s="4" t="s">
        <v>325</v>
      </c>
      <c r="U245" s="4">
        <v>0</v>
      </c>
      <c r="V245" s="4">
        <v>55</v>
      </c>
      <c r="W245" s="4">
        <v>6</v>
      </c>
    </row>
    <row r="246" spans="1:23" ht="11.25" customHeight="1" x14ac:dyDescent="0.3">
      <c r="A246" s="4" t="s">
        <v>28</v>
      </c>
      <c r="B246" s="4" t="s">
        <v>33</v>
      </c>
      <c r="C246" s="4" t="s">
        <v>23</v>
      </c>
      <c r="D246" s="4" t="s">
        <v>34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44378</v>
      </c>
      <c r="J246" s="6">
        <v>0</v>
      </c>
      <c r="K246" s="6">
        <v>0</v>
      </c>
      <c r="L246" s="6">
        <v>0.61399999999999999</v>
      </c>
      <c r="M246" s="6">
        <v>0.61399999999999999</v>
      </c>
      <c r="N246" s="6">
        <v>0.61399999999999999</v>
      </c>
      <c r="O246" s="6">
        <v>0.61399999999999999</v>
      </c>
      <c r="P246" s="6">
        <v>1</v>
      </c>
      <c r="Q246" s="4" t="s">
        <v>26</v>
      </c>
      <c r="R246" s="4">
        <v>0</v>
      </c>
      <c r="S246" s="4" t="s">
        <v>200</v>
      </c>
      <c r="T246" s="4" t="s">
        <v>325</v>
      </c>
      <c r="U246" s="4">
        <v>0</v>
      </c>
      <c r="V246" s="4">
        <v>55</v>
      </c>
      <c r="W246" s="4">
        <v>6</v>
      </c>
    </row>
    <row r="247" spans="1:23" ht="11.25" customHeight="1" x14ac:dyDescent="0.3">
      <c r="A247" s="4" t="s">
        <v>21</v>
      </c>
      <c r="B247" s="4" t="s">
        <v>33</v>
      </c>
      <c r="C247" s="4" t="s">
        <v>23</v>
      </c>
      <c r="D247" s="4" t="s">
        <v>34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44409</v>
      </c>
      <c r="J247" s="6">
        <v>0</v>
      </c>
      <c r="K247" s="6">
        <v>0</v>
      </c>
      <c r="L247" s="6">
        <v>10.656000000000001</v>
      </c>
      <c r="M247" s="6">
        <v>10.656000000000001</v>
      </c>
      <c r="N247" s="6">
        <v>10.656000000000001</v>
      </c>
      <c r="O247" s="6">
        <v>10.656000000000001</v>
      </c>
      <c r="P247" s="6">
        <v>3</v>
      </c>
      <c r="Q247" s="4" t="s">
        <v>26</v>
      </c>
      <c r="R247" s="4">
        <v>0</v>
      </c>
      <c r="S247" s="4" t="s">
        <v>201</v>
      </c>
      <c r="T247" s="4" t="s">
        <v>326</v>
      </c>
      <c r="U247" s="4">
        <v>0</v>
      </c>
      <c r="V247" s="4">
        <v>55</v>
      </c>
      <c r="W247" s="4">
        <v>6</v>
      </c>
    </row>
    <row r="248" spans="1:23" ht="11.25" customHeight="1" x14ac:dyDescent="0.3">
      <c r="A248" s="4" t="s">
        <v>28</v>
      </c>
      <c r="B248" s="4" t="s">
        <v>33</v>
      </c>
      <c r="C248" s="4" t="s">
        <v>23</v>
      </c>
      <c r="D248" s="4" t="s">
        <v>34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44409</v>
      </c>
      <c r="J248" s="6">
        <v>0</v>
      </c>
      <c r="K248" s="6">
        <v>0</v>
      </c>
      <c r="L248" s="6">
        <v>0.65</v>
      </c>
      <c r="M248" s="6">
        <v>0.65</v>
      </c>
      <c r="N248" s="6">
        <v>0.65</v>
      </c>
      <c r="O248" s="6">
        <v>0.65</v>
      </c>
      <c r="P248" s="6">
        <v>1</v>
      </c>
      <c r="Q248" s="4" t="s">
        <v>26</v>
      </c>
      <c r="R248" s="4">
        <v>0</v>
      </c>
      <c r="S248" s="4" t="s">
        <v>201</v>
      </c>
      <c r="T248" s="4" t="s">
        <v>326</v>
      </c>
      <c r="U248" s="4">
        <v>0</v>
      </c>
      <c r="V248" s="4">
        <v>55</v>
      </c>
      <c r="W248" s="4">
        <v>6</v>
      </c>
    </row>
    <row r="249" spans="1:23" ht="11.25" customHeight="1" x14ac:dyDescent="0.3">
      <c r="A249" s="4" t="s">
        <v>21</v>
      </c>
      <c r="B249" s="4" t="s">
        <v>33</v>
      </c>
      <c r="C249" s="4" t="s">
        <v>23</v>
      </c>
      <c r="D249" s="4" t="s">
        <v>34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44440</v>
      </c>
      <c r="J249" s="6">
        <v>0</v>
      </c>
      <c r="K249" s="6">
        <v>0</v>
      </c>
      <c r="L249" s="6">
        <v>12.375</v>
      </c>
      <c r="M249" s="6">
        <v>12.375</v>
      </c>
      <c r="N249" s="6">
        <v>12.375</v>
      </c>
      <c r="O249" s="6">
        <v>12.375</v>
      </c>
      <c r="P249" s="6">
        <v>3</v>
      </c>
      <c r="Q249" s="4" t="s">
        <v>26</v>
      </c>
      <c r="R249" s="4">
        <v>0</v>
      </c>
      <c r="S249" s="4" t="s">
        <v>202</v>
      </c>
      <c r="T249" s="4" t="s">
        <v>327</v>
      </c>
      <c r="U249" s="4">
        <v>0</v>
      </c>
      <c r="V249" s="4">
        <v>55</v>
      </c>
      <c r="W249" s="4">
        <v>6</v>
      </c>
    </row>
    <row r="250" spans="1:23" ht="11.25" customHeight="1" x14ac:dyDescent="0.3">
      <c r="A250" s="4" t="s">
        <v>28</v>
      </c>
      <c r="B250" s="4" t="s">
        <v>33</v>
      </c>
      <c r="C250" s="4" t="s">
        <v>23</v>
      </c>
      <c r="D250" s="4" t="s">
        <v>34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44440</v>
      </c>
      <c r="J250" s="6">
        <v>0</v>
      </c>
      <c r="K250" s="6">
        <v>0</v>
      </c>
      <c r="L250" s="6">
        <v>0.97</v>
      </c>
      <c r="M250" s="6">
        <v>0.97</v>
      </c>
      <c r="N250" s="6">
        <v>0.97</v>
      </c>
      <c r="O250" s="6">
        <v>0.97</v>
      </c>
      <c r="P250" s="6">
        <v>1</v>
      </c>
      <c r="Q250" s="4" t="s">
        <v>26</v>
      </c>
      <c r="R250" s="4">
        <v>0</v>
      </c>
      <c r="S250" s="4" t="s">
        <v>202</v>
      </c>
      <c r="T250" s="4" t="s">
        <v>327</v>
      </c>
      <c r="U250" s="4">
        <v>0</v>
      </c>
      <c r="V250" s="4">
        <v>55</v>
      </c>
      <c r="W250" s="4">
        <v>6</v>
      </c>
    </row>
    <row r="251" spans="1:23" ht="11.25" customHeight="1" x14ac:dyDescent="0.3">
      <c r="A251" s="4" t="s">
        <v>21</v>
      </c>
      <c r="B251" s="4" t="s">
        <v>33</v>
      </c>
      <c r="C251" s="4" t="s">
        <v>23</v>
      </c>
      <c r="D251" s="4" t="s">
        <v>34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44470</v>
      </c>
      <c r="J251" s="6">
        <v>0</v>
      </c>
      <c r="K251" s="6">
        <v>0</v>
      </c>
      <c r="L251" s="6">
        <v>12.571</v>
      </c>
      <c r="M251" s="6">
        <v>12.571</v>
      </c>
      <c r="N251" s="6">
        <v>12.571</v>
      </c>
      <c r="O251" s="6">
        <v>12.571</v>
      </c>
      <c r="P251" s="6">
        <v>3</v>
      </c>
      <c r="Q251" s="4" t="s">
        <v>26</v>
      </c>
      <c r="R251" s="4">
        <v>0</v>
      </c>
      <c r="S251" s="4" t="s">
        <v>203</v>
      </c>
      <c r="T251" s="4" t="s">
        <v>328</v>
      </c>
      <c r="U251" s="4">
        <v>0</v>
      </c>
      <c r="V251" s="4">
        <v>55</v>
      </c>
      <c r="W251" s="4">
        <v>6</v>
      </c>
    </row>
    <row r="252" spans="1:23" ht="11.25" customHeight="1" x14ac:dyDescent="0.3">
      <c r="A252" s="4" t="s">
        <v>28</v>
      </c>
      <c r="B252" s="4" t="s">
        <v>33</v>
      </c>
      <c r="C252" s="4" t="s">
        <v>23</v>
      </c>
      <c r="D252" s="4" t="s">
        <v>34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44470</v>
      </c>
      <c r="J252" s="6">
        <v>0</v>
      </c>
      <c r="K252" s="6">
        <v>0</v>
      </c>
      <c r="L252" s="6">
        <v>1.429</v>
      </c>
      <c r="M252" s="6">
        <v>1.429</v>
      </c>
      <c r="N252" s="6">
        <v>1.429</v>
      </c>
      <c r="O252" s="6">
        <v>1.429</v>
      </c>
      <c r="P252" s="6">
        <v>1</v>
      </c>
      <c r="Q252" s="4" t="s">
        <v>26</v>
      </c>
      <c r="R252" s="4">
        <v>0</v>
      </c>
      <c r="S252" s="4" t="s">
        <v>203</v>
      </c>
      <c r="T252" s="4" t="s">
        <v>328</v>
      </c>
      <c r="U252" s="4">
        <v>0</v>
      </c>
      <c r="V252" s="4">
        <v>55</v>
      </c>
      <c r="W252" s="4">
        <v>6</v>
      </c>
    </row>
    <row r="253" spans="1:23" ht="11.25" customHeight="1" x14ac:dyDescent="0.3">
      <c r="A253" s="4" t="s">
        <v>21</v>
      </c>
      <c r="B253" s="4" t="s">
        <v>33</v>
      </c>
      <c r="C253" s="4" t="s">
        <v>23</v>
      </c>
      <c r="D253" s="4" t="s">
        <v>34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44501</v>
      </c>
      <c r="J253" s="6">
        <v>0</v>
      </c>
      <c r="K253" s="6">
        <v>0</v>
      </c>
      <c r="L253" s="6">
        <v>13.385999999999999</v>
      </c>
      <c r="M253" s="6">
        <v>13.385999999999999</v>
      </c>
      <c r="N253" s="6">
        <v>13.385999999999999</v>
      </c>
      <c r="O253" s="6">
        <v>13.385999999999999</v>
      </c>
      <c r="P253" s="6">
        <v>3</v>
      </c>
      <c r="Q253" s="4" t="s">
        <v>26</v>
      </c>
      <c r="R253" s="4">
        <v>0</v>
      </c>
      <c r="S253" s="4" t="s">
        <v>204</v>
      </c>
      <c r="T253" s="4" t="s">
        <v>329</v>
      </c>
      <c r="U253" s="4">
        <v>0</v>
      </c>
      <c r="V253" s="4">
        <v>55</v>
      </c>
      <c r="W253" s="4">
        <v>6</v>
      </c>
    </row>
    <row r="254" spans="1:23" ht="11.25" customHeight="1" x14ac:dyDescent="0.3">
      <c r="A254" s="4" t="s">
        <v>28</v>
      </c>
      <c r="B254" s="4" t="s">
        <v>33</v>
      </c>
      <c r="C254" s="4" t="s">
        <v>23</v>
      </c>
      <c r="D254" s="4" t="s">
        <v>34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1.2529999999999999</v>
      </c>
      <c r="M254" s="6">
        <v>1.2529999999999999</v>
      </c>
      <c r="N254" s="6">
        <v>1.2529999999999999</v>
      </c>
      <c r="O254" s="6">
        <v>1.2529999999999999</v>
      </c>
      <c r="P254" s="6">
        <v>1</v>
      </c>
      <c r="Q254" s="4" t="s">
        <v>26</v>
      </c>
      <c r="R254" s="4">
        <v>0</v>
      </c>
      <c r="S254" s="4" t="s">
        <v>204</v>
      </c>
      <c r="T254" s="4" t="s">
        <v>329</v>
      </c>
      <c r="U254" s="4">
        <v>0</v>
      </c>
      <c r="V254" s="4">
        <v>55</v>
      </c>
      <c r="W254" s="4">
        <v>6</v>
      </c>
    </row>
    <row r="255" spans="1:23" ht="11.25" customHeight="1" x14ac:dyDescent="0.3">
      <c r="A255" s="4" t="s">
        <v>21</v>
      </c>
      <c r="B255" s="4" t="s">
        <v>33</v>
      </c>
      <c r="C255" s="4" t="s">
        <v>23</v>
      </c>
      <c r="D255" s="4" t="s">
        <v>34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13.257999999999999</v>
      </c>
      <c r="M255" s="6">
        <v>13.257999999999999</v>
      </c>
      <c r="N255" s="6">
        <v>13.257999999999999</v>
      </c>
      <c r="O255" s="6">
        <v>13.257999999999999</v>
      </c>
      <c r="P255" s="6">
        <v>3</v>
      </c>
      <c r="Q255" s="4" t="s">
        <v>26</v>
      </c>
      <c r="R255" s="4">
        <v>0</v>
      </c>
      <c r="S255" s="4" t="s">
        <v>205</v>
      </c>
      <c r="T255" s="4" t="s">
        <v>330</v>
      </c>
      <c r="U255" s="4">
        <v>0</v>
      </c>
      <c r="V255" s="4">
        <v>55</v>
      </c>
      <c r="W255" s="4">
        <v>6</v>
      </c>
    </row>
    <row r="256" spans="1:23" ht="11.25" customHeight="1" x14ac:dyDescent="0.3">
      <c r="A256" s="4" t="s">
        <v>28</v>
      </c>
      <c r="B256" s="4" t="s">
        <v>33</v>
      </c>
      <c r="C256" s="4" t="s">
        <v>23</v>
      </c>
      <c r="D256" s="4" t="s">
        <v>34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44531</v>
      </c>
      <c r="J256" s="6">
        <v>0</v>
      </c>
      <c r="K256" s="6">
        <v>0</v>
      </c>
      <c r="L256" s="6">
        <v>1.0860000000000001</v>
      </c>
      <c r="M256" s="6">
        <v>1.0860000000000001</v>
      </c>
      <c r="N256" s="6">
        <v>1.0860000000000001</v>
      </c>
      <c r="O256" s="6">
        <v>1.0860000000000001</v>
      </c>
      <c r="P256" s="6">
        <v>1</v>
      </c>
      <c r="Q256" s="4" t="s">
        <v>26</v>
      </c>
      <c r="R256" s="4">
        <v>0</v>
      </c>
      <c r="S256" s="4" t="s">
        <v>205</v>
      </c>
      <c r="T256" s="4" t="s">
        <v>330</v>
      </c>
      <c r="U256" s="4">
        <v>0</v>
      </c>
      <c r="V256" s="4">
        <v>55</v>
      </c>
      <c r="W256" s="4">
        <v>6</v>
      </c>
    </row>
    <row r="257" spans="1:23" ht="11.25" customHeight="1" x14ac:dyDescent="0.3">
      <c r="A257" s="4" t="s">
        <v>21</v>
      </c>
      <c r="B257" s="4" t="s">
        <v>33</v>
      </c>
      <c r="C257" s="4" t="s">
        <v>23</v>
      </c>
      <c r="D257" s="4" t="s">
        <v>34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44562</v>
      </c>
      <c r="J257" s="6">
        <v>0</v>
      </c>
      <c r="K257" s="6">
        <v>0</v>
      </c>
      <c r="L257" s="6">
        <v>13.843</v>
      </c>
      <c r="M257" s="6">
        <v>13.843</v>
      </c>
      <c r="N257" s="6">
        <v>13.843</v>
      </c>
      <c r="O257" s="6">
        <v>13.843</v>
      </c>
      <c r="P257" s="6">
        <v>3</v>
      </c>
      <c r="Q257" s="4" t="s">
        <v>26</v>
      </c>
      <c r="R257" s="4">
        <v>0</v>
      </c>
      <c r="S257" s="4" t="s">
        <v>206</v>
      </c>
      <c r="T257" s="4" t="s">
        <v>331</v>
      </c>
      <c r="U257" s="4">
        <v>0</v>
      </c>
      <c r="V257" s="4">
        <v>55</v>
      </c>
      <c r="W257" s="4">
        <v>6</v>
      </c>
    </row>
    <row r="258" spans="1:23" ht="11.25" customHeight="1" x14ac:dyDescent="0.3">
      <c r="A258" s="4" t="s">
        <v>28</v>
      </c>
      <c r="B258" s="4" t="s">
        <v>33</v>
      </c>
      <c r="C258" s="4" t="s">
        <v>23</v>
      </c>
      <c r="D258" s="4" t="s">
        <v>34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44562</v>
      </c>
      <c r="J258" s="6">
        <v>0</v>
      </c>
      <c r="K258" s="6">
        <v>0</v>
      </c>
      <c r="L258" s="6">
        <v>2.2919999999999998</v>
      </c>
      <c r="M258" s="6">
        <v>2.2919999999999998</v>
      </c>
      <c r="N258" s="6">
        <v>2.2919999999999998</v>
      </c>
      <c r="O258" s="6">
        <v>2.2919999999999998</v>
      </c>
      <c r="P258" s="6">
        <v>1</v>
      </c>
      <c r="Q258" s="4" t="s">
        <v>26</v>
      </c>
      <c r="R258" s="4">
        <v>0</v>
      </c>
      <c r="S258" s="4" t="s">
        <v>206</v>
      </c>
      <c r="T258" s="4" t="s">
        <v>331</v>
      </c>
      <c r="U258" s="4">
        <v>0</v>
      </c>
      <c r="V258" s="4">
        <v>55</v>
      </c>
      <c r="W258" s="4">
        <v>6</v>
      </c>
    </row>
    <row r="259" spans="1:23" ht="11.25" customHeight="1" x14ac:dyDescent="0.3">
      <c r="A259" s="4" t="s">
        <v>21</v>
      </c>
      <c r="B259" s="4" t="s">
        <v>33</v>
      </c>
      <c r="C259" s="4" t="s">
        <v>23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44593</v>
      </c>
      <c r="J259" s="6">
        <v>0</v>
      </c>
      <c r="K259" s="6">
        <v>0</v>
      </c>
      <c r="L259" s="6">
        <v>15.983000000000001</v>
      </c>
      <c r="M259" s="6">
        <v>15.983000000000001</v>
      </c>
      <c r="N259" s="6">
        <v>15.983000000000001</v>
      </c>
      <c r="O259" s="6">
        <v>15.983000000000001</v>
      </c>
      <c r="P259" s="6">
        <v>3</v>
      </c>
      <c r="Q259" s="4" t="s">
        <v>26</v>
      </c>
      <c r="R259" s="4">
        <v>0</v>
      </c>
      <c r="S259" s="4" t="s">
        <v>207</v>
      </c>
      <c r="T259" s="4" t="s">
        <v>332</v>
      </c>
      <c r="U259" s="4">
        <v>0</v>
      </c>
      <c r="V259" s="4">
        <v>55</v>
      </c>
      <c r="W259" s="4">
        <v>6</v>
      </c>
    </row>
    <row r="260" spans="1:23" ht="11.25" customHeight="1" x14ac:dyDescent="0.3">
      <c r="A260" s="4" t="s">
        <v>28</v>
      </c>
      <c r="B260" s="4" t="s">
        <v>33</v>
      </c>
      <c r="C260" s="4" t="s">
        <v>23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44593</v>
      </c>
      <c r="J260" s="6">
        <v>0</v>
      </c>
      <c r="K260" s="6">
        <v>0</v>
      </c>
      <c r="L260" s="6">
        <v>0.56799999999999995</v>
      </c>
      <c r="M260" s="6">
        <v>0.56799999999999995</v>
      </c>
      <c r="N260" s="6">
        <v>0.56799999999999995</v>
      </c>
      <c r="O260" s="6">
        <v>0.56799999999999995</v>
      </c>
      <c r="P260" s="6">
        <v>1</v>
      </c>
      <c r="Q260" s="4" t="s">
        <v>26</v>
      </c>
      <c r="R260" s="4">
        <v>0</v>
      </c>
      <c r="S260" s="4" t="s">
        <v>207</v>
      </c>
      <c r="T260" s="4" t="s">
        <v>332</v>
      </c>
      <c r="U260" s="4">
        <v>0</v>
      </c>
      <c r="V260" s="4">
        <v>55</v>
      </c>
      <c r="W260" s="4">
        <v>6</v>
      </c>
    </row>
    <row r="261" spans="1:23" ht="11.25" customHeight="1" x14ac:dyDescent="0.3">
      <c r="A261" s="4" t="s">
        <v>21</v>
      </c>
      <c r="B261" s="4" t="s">
        <v>33</v>
      </c>
      <c r="C261" s="4" t="s">
        <v>23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44621</v>
      </c>
      <c r="J261" s="6">
        <v>0</v>
      </c>
      <c r="K261" s="6">
        <v>0</v>
      </c>
      <c r="L261" s="6">
        <v>14.034000000000001</v>
      </c>
      <c r="M261" s="6">
        <v>14.034000000000001</v>
      </c>
      <c r="N261" s="6">
        <v>14.034000000000001</v>
      </c>
      <c r="O261" s="6">
        <v>14.034000000000001</v>
      </c>
      <c r="P261" s="6">
        <v>3</v>
      </c>
      <c r="Q261" s="4" t="s">
        <v>26</v>
      </c>
      <c r="R261" s="4">
        <v>0</v>
      </c>
      <c r="S261" s="4" t="s">
        <v>208</v>
      </c>
      <c r="T261" s="4" t="s">
        <v>333</v>
      </c>
      <c r="U261" s="4">
        <v>0</v>
      </c>
      <c r="V261" s="4">
        <v>55</v>
      </c>
      <c r="W261" s="4">
        <v>6</v>
      </c>
    </row>
    <row r="262" spans="1:23" ht="11.25" customHeight="1" x14ac:dyDescent="0.3">
      <c r="A262" s="4" t="s">
        <v>28</v>
      </c>
      <c r="B262" s="4" t="s">
        <v>33</v>
      </c>
      <c r="C262" s="4" t="s">
        <v>23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0.1</v>
      </c>
      <c r="M262" s="6">
        <v>0.1</v>
      </c>
      <c r="N262" s="6">
        <v>0.1</v>
      </c>
      <c r="O262" s="6">
        <v>0.1</v>
      </c>
      <c r="P262" s="6">
        <v>1</v>
      </c>
      <c r="Q262" s="4" t="s">
        <v>26</v>
      </c>
      <c r="R262" s="4">
        <v>0</v>
      </c>
      <c r="S262" s="4" t="s">
        <v>208</v>
      </c>
      <c r="T262" s="4" t="s">
        <v>333</v>
      </c>
      <c r="U262" s="4">
        <v>0</v>
      </c>
      <c r="V262" s="4">
        <v>55</v>
      </c>
      <c r="W262" s="4">
        <v>6</v>
      </c>
    </row>
    <row r="263" spans="1:23" ht="11.25" customHeight="1" x14ac:dyDescent="0.3">
      <c r="A263" s="4" t="s">
        <v>21</v>
      </c>
      <c r="B263" s="4" t="s">
        <v>33</v>
      </c>
      <c r="C263" s="4" t="s">
        <v>23</v>
      </c>
      <c r="D263" s="4" t="s">
        <v>42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44287</v>
      </c>
      <c r="J263" s="6">
        <v>0</v>
      </c>
      <c r="K263" s="6">
        <v>0</v>
      </c>
      <c r="L263" s="6">
        <v>6.6180000000000003</v>
      </c>
      <c r="M263" s="6">
        <v>6.6180000000000003</v>
      </c>
      <c r="N263" s="6">
        <v>6.6180000000000003</v>
      </c>
      <c r="O263" s="6">
        <v>6.6180000000000003</v>
      </c>
      <c r="P263" s="6">
        <v>18</v>
      </c>
      <c r="Q263" s="4" t="s">
        <v>26</v>
      </c>
      <c r="R263" s="4">
        <v>0</v>
      </c>
      <c r="S263" s="4" t="s">
        <v>197</v>
      </c>
      <c r="T263" s="4" t="s">
        <v>322</v>
      </c>
      <c r="U263" s="4">
        <v>0</v>
      </c>
      <c r="V263" s="4">
        <v>55</v>
      </c>
      <c r="W263" s="4">
        <v>6</v>
      </c>
    </row>
    <row r="264" spans="1:23" ht="11.25" customHeight="1" x14ac:dyDescent="0.3">
      <c r="A264" s="4" t="s">
        <v>21</v>
      </c>
      <c r="B264" s="4" t="s">
        <v>33</v>
      </c>
      <c r="C264" s="4" t="s">
        <v>23</v>
      </c>
      <c r="D264" s="4" t="s">
        <v>42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44317</v>
      </c>
      <c r="J264" s="6">
        <v>0</v>
      </c>
      <c r="K264" s="6">
        <v>0</v>
      </c>
      <c r="L264" s="6">
        <v>5.3810000000000002</v>
      </c>
      <c r="M264" s="6">
        <v>5.3810000000000002</v>
      </c>
      <c r="N264" s="6">
        <v>5.3810000000000002</v>
      </c>
      <c r="O264" s="6">
        <v>5.3810000000000002</v>
      </c>
      <c r="P264" s="6">
        <v>18</v>
      </c>
      <c r="Q264" s="4" t="s">
        <v>26</v>
      </c>
      <c r="R264" s="4">
        <v>0</v>
      </c>
      <c r="S264" s="4" t="s">
        <v>198</v>
      </c>
      <c r="T264" s="4" t="s">
        <v>323</v>
      </c>
      <c r="U264" s="4">
        <v>0</v>
      </c>
      <c r="V264" s="4">
        <v>55</v>
      </c>
      <c r="W264" s="4">
        <v>6</v>
      </c>
    </row>
    <row r="265" spans="1:23" ht="11.25" customHeight="1" x14ac:dyDescent="0.3">
      <c r="A265" s="4" t="s">
        <v>21</v>
      </c>
      <c r="B265" s="4" t="s">
        <v>33</v>
      </c>
      <c r="C265" s="4" t="s">
        <v>23</v>
      </c>
      <c r="D265" s="4" t="s">
        <v>42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44348</v>
      </c>
      <c r="J265" s="6">
        <v>0</v>
      </c>
      <c r="K265" s="6">
        <v>0</v>
      </c>
      <c r="L265" s="6">
        <v>4.9690000000000003</v>
      </c>
      <c r="M265" s="6">
        <v>4.9690000000000003</v>
      </c>
      <c r="N265" s="6">
        <v>4.9690000000000003</v>
      </c>
      <c r="O265" s="6">
        <v>4.9690000000000003</v>
      </c>
      <c r="P265" s="6">
        <v>18</v>
      </c>
      <c r="Q265" s="4" t="s">
        <v>26</v>
      </c>
      <c r="R265" s="4">
        <v>0</v>
      </c>
      <c r="S265" s="4" t="s">
        <v>199</v>
      </c>
      <c r="T265" s="4" t="s">
        <v>324</v>
      </c>
      <c r="U265" s="4">
        <v>0</v>
      </c>
      <c r="V265" s="4">
        <v>55</v>
      </c>
      <c r="W265" s="4">
        <v>6</v>
      </c>
    </row>
    <row r="266" spans="1:23" ht="11.25" customHeight="1" x14ac:dyDescent="0.3">
      <c r="A266" s="4" t="s">
        <v>21</v>
      </c>
      <c r="B266" s="4" t="s">
        <v>33</v>
      </c>
      <c r="C266" s="4" t="s">
        <v>23</v>
      </c>
      <c r="D266" s="4" t="s">
        <v>42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44378</v>
      </c>
      <c r="J266" s="6">
        <v>0</v>
      </c>
      <c r="K266" s="6">
        <v>0</v>
      </c>
      <c r="L266" s="6">
        <v>4.7130000000000001</v>
      </c>
      <c r="M266" s="6">
        <v>4.7130000000000001</v>
      </c>
      <c r="N266" s="6">
        <v>4.7130000000000001</v>
      </c>
      <c r="O266" s="6">
        <v>4.7130000000000001</v>
      </c>
      <c r="P266" s="6">
        <v>18</v>
      </c>
      <c r="Q266" s="4" t="s">
        <v>26</v>
      </c>
      <c r="R266" s="4">
        <v>0</v>
      </c>
      <c r="S266" s="4" t="s">
        <v>200</v>
      </c>
      <c r="T266" s="4" t="s">
        <v>325</v>
      </c>
      <c r="U266" s="4">
        <v>0</v>
      </c>
      <c r="V266" s="4">
        <v>55</v>
      </c>
      <c r="W266" s="4">
        <v>6</v>
      </c>
    </row>
    <row r="267" spans="1:23" ht="11.25" customHeight="1" x14ac:dyDescent="0.3">
      <c r="A267" s="4" t="s">
        <v>21</v>
      </c>
      <c r="B267" s="4" t="s">
        <v>33</v>
      </c>
      <c r="C267" s="4" t="s">
        <v>23</v>
      </c>
      <c r="D267" s="4" t="s">
        <v>42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44409</v>
      </c>
      <c r="J267" s="6">
        <v>0</v>
      </c>
      <c r="K267" s="6">
        <v>0</v>
      </c>
      <c r="L267" s="6">
        <v>5.5209999999999999</v>
      </c>
      <c r="M267" s="6">
        <v>5.5209999999999999</v>
      </c>
      <c r="N267" s="6">
        <v>5.5209999999999999</v>
      </c>
      <c r="O267" s="6">
        <v>5.5209999999999999</v>
      </c>
      <c r="P267" s="6">
        <v>18</v>
      </c>
      <c r="Q267" s="4" t="s">
        <v>26</v>
      </c>
      <c r="R267" s="4">
        <v>0</v>
      </c>
      <c r="S267" s="4" t="s">
        <v>201</v>
      </c>
      <c r="T267" s="4" t="s">
        <v>326</v>
      </c>
      <c r="U267" s="4">
        <v>0</v>
      </c>
      <c r="V267" s="4">
        <v>55</v>
      </c>
      <c r="W267" s="4">
        <v>6</v>
      </c>
    </row>
    <row r="268" spans="1:23" ht="11.25" customHeight="1" x14ac:dyDescent="0.3">
      <c r="A268" s="4" t="s">
        <v>21</v>
      </c>
      <c r="B268" s="4" t="s">
        <v>33</v>
      </c>
      <c r="C268" s="4" t="s">
        <v>23</v>
      </c>
      <c r="D268" s="4" t="s">
        <v>42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44440</v>
      </c>
      <c r="J268" s="6">
        <v>0</v>
      </c>
      <c r="K268" s="6">
        <v>0</v>
      </c>
      <c r="L268" s="6">
        <v>8.282</v>
      </c>
      <c r="M268" s="6">
        <v>8.282</v>
      </c>
      <c r="N268" s="6">
        <v>8.282</v>
      </c>
      <c r="O268" s="6">
        <v>8.282</v>
      </c>
      <c r="P268" s="6">
        <v>18</v>
      </c>
      <c r="Q268" s="4" t="s">
        <v>26</v>
      </c>
      <c r="R268" s="4">
        <v>0</v>
      </c>
      <c r="S268" s="4" t="s">
        <v>202</v>
      </c>
      <c r="T268" s="4" t="s">
        <v>327</v>
      </c>
      <c r="U268" s="4">
        <v>0</v>
      </c>
      <c r="V268" s="4">
        <v>55</v>
      </c>
      <c r="W268" s="4">
        <v>6</v>
      </c>
    </row>
    <row r="269" spans="1:23" ht="11.25" customHeight="1" x14ac:dyDescent="0.3">
      <c r="A269" s="4" t="s">
        <v>21</v>
      </c>
      <c r="B269" s="4" t="s">
        <v>33</v>
      </c>
      <c r="C269" s="4" t="s">
        <v>23</v>
      </c>
      <c r="D269" s="4" t="s">
        <v>42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44470</v>
      </c>
      <c r="J269" s="6">
        <v>0</v>
      </c>
      <c r="K269" s="6">
        <v>0</v>
      </c>
      <c r="L269" s="6">
        <v>9.2070000000000007</v>
      </c>
      <c r="M269" s="6">
        <v>9.2070000000000007</v>
      </c>
      <c r="N269" s="6">
        <v>9.2070000000000007</v>
      </c>
      <c r="O269" s="6">
        <v>9.2070000000000007</v>
      </c>
      <c r="P269" s="6">
        <v>18</v>
      </c>
      <c r="Q269" s="4" t="s">
        <v>26</v>
      </c>
      <c r="R269" s="4">
        <v>0</v>
      </c>
      <c r="S269" s="4" t="s">
        <v>203</v>
      </c>
      <c r="T269" s="4" t="s">
        <v>328</v>
      </c>
      <c r="U269" s="4">
        <v>0</v>
      </c>
      <c r="V269" s="4">
        <v>55</v>
      </c>
      <c r="W269" s="4">
        <v>6</v>
      </c>
    </row>
    <row r="270" spans="1:23" ht="11.25" customHeight="1" x14ac:dyDescent="0.3">
      <c r="A270" s="4" t="s">
        <v>21</v>
      </c>
      <c r="B270" s="4" t="s">
        <v>33</v>
      </c>
      <c r="C270" s="4" t="s">
        <v>23</v>
      </c>
      <c r="D270" s="4" t="s">
        <v>42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44501</v>
      </c>
      <c r="J270" s="6">
        <v>0</v>
      </c>
      <c r="K270" s="6">
        <v>0</v>
      </c>
      <c r="L270" s="6">
        <v>8.4969999999999999</v>
      </c>
      <c r="M270" s="6">
        <v>8.4969999999999999</v>
      </c>
      <c r="N270" s="6">
        <v>8.4969999999999999</v>
      </c>
      <c r="O270" s="6">
        <v>8.4969999999999999</v>
      </c>
      <c r="P270" s="6">
        <v>18</v>
      </c>
      <c r="Q270" s="4" t="s">
        <v>26</v>
      </c>
      <c r="R270" s="4">
        <v>0</v>
      </c>
      <c r="S270" s="4" t="s">
        <v>204</v>
      </c>
      <c r="T270" s="4" t="s">
        <v>329</v>
      </c>
      <c r="U270" s="4">
        <v>0</v>
      </c>
      <c r="V270" s="4">
        <v>55</v>
      </c>
      <c r="W270" s="4">
        <v>6</v>
      </c>
    </row>
    <row r="271" spans="1:23" ht="11.25" customHeight="1" x14ac:dyDescent="0.3">
      <c r="A271" s="4" t="s">
        <v>21</v>
      </c>
      <c r="B271" s="4" t="s">
        <v>33</v>
      </c>
      <c r="C271" s="4" t="s">
        <v>23</v>
      </c>
      <c r="D271" s="4" t="s">
        <v>42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9.6300000000000008</v>
      </c>
      <c r="M271" s="6">
        <v>9.6300000000000008</v>
      </c>
      <c r="N271" s="6">
        <v>9.6300000000000008</v>
      </c>
      <c r="O271" s="6">
        <v>9.6300000000000008</v>
      </c>
      <c r="P271" s="6">
        <v>18</v>
      </c>
      <c r="Q271" s="4" t="s">
        <v>26</v>
      </c>
      <c r="R271" s="4">
        <v>0</v>
      </c>
      <c r="S271" s="4" t="s">
        <v>205</v>
      </c>
      <c r="T271" s="4" t="s">
        <v>330</v>
      </c>
      <c r="U271" s="4">
        <v>0</v>
      </c>
      <c r="V271" s="4">
        <v>55</v>
      </c>
      <c r="W271" s="4">
        <v>6</v>
      </c>
    </row>
    <row r="272" spans="1:23" ht="11.25" customHeight="1" x14ac:dyDescent="0.3">
      <c r="A272" s="4" t="s">
        <v>21</v>
      </c>
      <c r="B272" s="4" t="s">
        <v>33</v>
      </c>
      <c r="C272" s="4" t="s">
        <v>23</v>
      </c>
      <c r="D272" s="4" t="s">
        <v>42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6.758</v>
      </c>
      <c r="M272" s="6">
        <v>6.758</v>
      </c>
      <c r="N272" s="6">
        <v>6.758</v>
      </c>
      <c r="O272" s="6">
        <v>6.758</v>
      </c>
      <c r="P272" s="6">
        <v>18</v>
      </c>
      <c r="Q272" s="4" t="s">
        <v>26</v>
      </c>
      <c r="R272" s="4">
        <v>0</v>
      </c>
      <c r="S272" s="4" t="s">
        <v>206</v>
      </c>
      <c r="T272" s="4" t="s">
        <v>331</v>
      </c>
      <c r="U272" s="4">
        <v>0</v>
      </c>
      <c r="V272" s="4">
        <v>55</v>
      </c>
      <c r="W272" s="4">
        <v>6</v>
      </c>
    </row>
    <row r="273" spans="1:23" ht="11.25" customHeight="1" x14ac:dyDescent="0.3">
      <c r="A273" s="4" t="s">
        <v>21</v>
      </c>
      <c r="B273" s="4" t="s">
        <v>33</v>
      </c>
      <c r="C273" s="4" t="s">
        <v>23</v>
      </c>
      <c r="D273" s="4" t="s">
        <v>42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9.9280000000000008</v>
      </c>
      <c r="M273" s="6">
        <v>9.9280000000000008</v>
      </c>
      <c r="N273" s="6">
        <v>9.9280000000000008</v>
      </c>
      <c r="O273" s="6">
        <v>9.9280000000000008</v>
      </c>
      <c r="P273" s="6">
        <v>18</v>
      </c>
      <c r="Q273" s="4" t="s">
        <v>26</v>
      </c>
      <c r="R273" s="4">
        <v>0</v>
      </c>
      <c r="S273" s="4" t="s">
        <v>207</v>
      </c>
      <c r="T273" s="4" t="s">
        <v>332</v>
      </c>
      <c r="U273" s="4">
        <v>0</v>
      </c>
      <c r="V273" s="4">
        <v>55</v>
      </c>
      <c r="W273" s="4">
        <v>6</v>
      </c>
    </row>
    <row r="274" spans="1:23" ht="11.25" customHeight="1" x14ac:dyDescent="0.3">
      <c r="A274" s="4" t="s">
        <v>21</v>
      </c>
      <c r="B274" s="4" t="s">
        <v>33</v>
      </c>
      <c r="C274" s="4" t="s">
        <v>23</v>
      </c>
      <c r="D274" s="4" t="s">
        <v>42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44621</v>
      </c>
      <c r="J274" s="6">
        <v>0</v>
      </c>
      <c r="K274" s="6">
        <v>0</v>
      </c>
      <c r="L274" s="6">
        <v>11.946999999999999</v>
      </c>
      <c r="M274" s="6">
        <v>11.946999999999999</v>
      </c>
      <c r="N274" s="6">
        <v>11.946999999999999</v>
      </c>
      <c r="O274" s="6">
        <v>11.946999999999999</v>
      </c>
      <c r="P274" s="6">
        <v>18</v>
      </c>
      <c r="Q274" s="4" t="s">
        <v>26</v>
      </c>
      <c r="R274" s="4">
        <v>0</v>
      </c>
      <c r="S274" s="4" t="s">
        <v>208</v>
      </c>
      <c r="T274" s="4" t="s">
        <v>333</v>
      </c>
      <c r="U274" s="4">
        <v>0</v>
      </c>
      <c r="V274" s="4">
        <v>55</v>
      </c>
      <c r="W274" s="4">
        <v>6</v>
      </c>
    </row>
    <row r="275" spans="1:23" ht="11.25" customHeight="1" x14ac:dyDescent="0.3">
      <c r="A275" s="4" t="s">
        <v>21</v>
      </c>
      <c r="B275" s="4" t="s">
        <v>33</v>
      </c>
      <c r="C275" s="4" t="s">
        <v>23</v>
      </c>
      <c r="D275" s="4" t="s">
        <v>46</v>
      </c>
      <c r="E275" s="4" t="s">
        <v>47</v>
      </c>
      <c r="F275" s="4" t="s">
        <v>25</v>
      </c>
      <c r="G275" s="4" t="s">
        <v>25</v>
      </c>
      <c r="H275" s="4" t="s">
        <v>25</v>
      </c>
      <c r="I275" s="5">
        <v>44287</v>
      </c>
      <c r="J275" s="6">
        <v>0</v>
      </c>
      <c r="K275" s="6">
        <v>0</v>
      </c>
      <c r="L275" s="6">
        <v>7.5960000000000001</v>
      </c>
      <c r="M275" s="6">
        <v>7.1402399999999995</v>
      </c>
      <c r="N275" s="6">
        <v>7.5960000000000001</v>
      </c>
      <c r="O275" s="6">
        <v>7.1402399999999995</v>
      </c>
      <c r="P275" s="6">
        <v>3</v>
      </c>
      <c r="Q275" s="4" t="s">
        <v>26</v>
      </c>
      <c r="R275" s="4">
        <v>0</v>
      </c>
      <c r="S275" s="4" t="s">
        <v>197</v>
      </c>
      <c r="T275" s="4" t="s">
        <v>322</v>
      </c>
      <c r="U275" s="4">
        <v>0</v>
      </c>
      <c r="V275" s="4">
        <v>55</v>
      </c>
      <c r="W275" s="4">
        <v>6</v>
      </c>
    </row>
    <row r="276" spans="1:23" ht="11.25" customHeight="1" x14ac:dyDescent="0.3">
      <c r="A276" s="4" t="s">
        <v>21</v>
      </c>
      <c r="B276" s="4" t="s">
        <v>33</v>
      </c>
      <c r="C276" s="4" t="s">
        <v>23</v>
      </c>
      <c r="D276" s="4" t="s">
        <v>46</v>
      </c>
      <c r="E276" s="4" t="s">
        <v>47</v>
      </c>
      <c r="F276" s="4" t="s">
        <v>25</v>
      </c>
      <c r="G276" s="4" t="s">
        <v>25</v>
      </c>
      <c r="H276" s="4" t="s">
        <v>25</v>
      </c>
      <c r="I276" s="5">
        <v>44317</v>
      </c>
      <c r="J276" s="6">
        <v>0</v>
      </c>
      <c r="K276" s="6">
        <v>0</v>
      </c>
      <c r="L276" s="6">
        <v>7.8360000000000003</v>
      </c>
      <c r="M276" s="6">
        <v>7.3658399999999995</v>
      </c>
      <c r="N276" s="6">
        <v>7.8360000000000003</v>
      </c>
      <c r="O276" s="6">
        <v>7.3658399999999995</v>
      </c>
      <c r="P276" s="6">
        <v>3</v>
      </c>
      <c r="Q276" s="4" t="s">
        <v>26</v>
      </c>
      <c r="R276" s="4">
        <v>0</v>
      </c>
      <c r="S276" s="4" t="s">
        <v>198</v>
      </c>
      <c r="T276" s="4" t="s">
        <v>323</v>
      </c>
      <c r="U276" s="4">
        <v>0</v>
      </c>
      <c r="V276" s="4">
        <v>55</v>
      </c>
      <c r="W276" s="4">
        <v>6</v>
      </c>
    </row>
    <row r="277" spans="1:23" ht="11.25" customHeight="1" x14ac:dyDescent="0.3">
      <c r="A277" s="4" t="s">
        <v>21</v>
      </c>
      <c r="B277" s="4" t="s">
        <v>33</v>
      </c>
      <c r="C277" s="4" t="s">
        <v>23</v>
      </c>
      <c r="D277" s="4" t="s">
        <v>46</v>
      </c>
      <c r="E277" s="4" t="s">
        <v>47</v>
      </c>
      <c r="F277" s="4" t="s">
        <v>25</v>
      </c>
      <c r="G277" s="4" t="s">
        <v>25</v>
      </c>
      <c r="H277" s="4" t="s">
        <v>25</v>
      </c>
      <c r="I277" s="5">
        <v>44348</v>
      </c>
      <c r="J277" s="6">
        <v>0</v>
      </c>
      <c r="K277" s="6">
        <v>0</v>
      </c>
      <c r="L277" s="6">
        <v>8.2249999999999996</v>
      </c>
      <c r="M277" s="6">
        <v>7.7314999999999996</v>
      </c>
      <c r="N277" s="6">
        <v>8.2249999999999996</v>
      </c>
      <c r="O277" s="6">
        <v>7.7314999999999996</v>
      </c>
      <c r="P277" s="6">
        <v>3</v>
      </c>
      <c r="Q277" s="4" t="s">
        <v>26</v>
      </c>
      <c r="R277" s="4">
        <v>0</v>
      </c>
      <c r="S277" s="4" t="s">
        <v>199</v>
      </c>
      <c r="T277" s="4" t="s">
        <v>324</v>
      </c>
      <c r="U277" s="4">
        <v>0</v>
      </c>
      <c r="V277" s="4">
        <v>55</v>
      </c>
      <c r="W277" s="4">
        <v>6</v>
      </c>
    </row>
    <row r="278" spans="1:23" ht="11.25" customHeight="1" x14ac:dyDescent="0.3">
      <c r="A278" s="4" t="s">
        <v>21</v>
      </c>
      <c r="B278" s="4" t="s">
        <v>33</v>
      </c>
      <c r="C278" s="4" t="s">
        <v>23</v>
      </c>
      <c r="D278" s="4" t="s">
        <v>46</v>
      </c>
      <c r="E278" s="4" t="s">
        <v>47</v>
      </c>
      <c r="F278" s="4" t="s">
        <v>25</v>
      </c>
      <c r="G278" s="4" t="s">
        <v>25</v>
      </c>
      <c r="H278" s="4" t="s">
        <v>25</v>
      </c>
      <c r="I278" s="5">
        <v>44378</v>
      </c>
      <c r="J278" s="6">
        <v>0</v>
      </c>
      <c r="K278" s="6">
        <v>0</v>
      </c>
      <c r="L278" s="6">
        <v>8.1340000000000003</v>
      </c>
      <c r="M278" s="6">
        <v>7.6459599999999996</v>
      </c>
      <c r="N278" s="6">
        <v>8.1340000000000003</v>
      </c>
      <c r="O278" s="6">
        <v>7.6459599999999996</v>
      </c>
      <c r="P278" s="6">
        <v>3</v>
      </c>
      <c r="Q278" s="4" t="s">
        <v>26</v>
      </c>
      <c r="R278" s="4">
        <v>0</v>
      </c>
      <c r="S278" s="4" t="s">
        <v>200</v>
      </c>
      <c r="T278" s="4" t="s">
        <v>325</v>
      </c>
      <c r="U278" s="4">
        <v>0</v>
      </c>
      <c r="V278" s="4">
        <v>55</v>
      </c>
      <c r="W278" s="4">
        <v>6</v>
      </c>
    </row>
    <row r="279" spans="1:23" ht="11.25" customHeight="1" x14ac:dyDescent="0.3">
      <c r="A279" s="4" t="s">
        <v>21</v>
      </c>
      <c r="B279" s="4" t="s">
        <v>33</v>
      </c>
      <c r="C279" s="4" t="s">
        <v>23</v>
      </c>
      <c r="D279" s="4" t="s">
        <v>46</v>
      </c>
      <c r="E279" s="4" t="s">
        <v>47</v>
      </c>
      <c r="F279" s="4" t="s">
        <v>25</v>
      </c>
      <c r="G279" s="4" t="s">
        <v>25</v>
      </c>
      <c r="H279" s="4" t="s">
        <v>25</v>
      </c>
      <c r="I279" s="5">
        <v>44409</v>
      </c>
      <c r="J279" s="6">
        <v>0</v>
      </c>
      <c r="K279" s="6">
        <v>0</v>
      </c>
      <c r="L279" s="6">
        <v>9.1270000000000007</v>
      </c>
      <c r="M279" s="6">
        <v>8.5793800000000005</v>
      </c>
      <c r="N279" s="6">
        <v>9.1270000000000007</v>
      </c>
      <c r="O279" s="6">
        <v>8.5793800000000005</v>
      </c>
      <c r="P279" s="6">
        <v>3</v>
      </c>
      <c r="Q279" s="4" t="s">
        <v>26</v>
      </c>
      <c r="R279" s="4">
        <v>0</v>
      </c>
      <c r="S279" s="4" t="s">
        <v>201</v>
      </c>
      <c r="T279" s="4" t="s">
        <v>326</v>
      </c>
      <c r="U279" s="4">
        <v>0</v>
      </c>
      <c r="V279" s="4">
        <v>55</v>
      </c>
      <c r="W279" s="4">
        <v>6</v>
      </c>
    </row>
    <row r="280" spans="1:23" ht="11.25" customHeight="1" x14ac:dyDescent="0.3">
      <c r="A280" s="4" t="s">
        <v>21</v>
      </c>
      <c r="B280" s="4" t="s">
        <v>33</v>
      </c>
      <c r="C280" s="4" t="s">
        <v>23</v>
      </c>
      <c r="D280" s="4" t="s">
        <v>46</v>
      </c>
      <c r="E280" s="4" t="s">
        <v>47</v>
      </c>
      <c r="F280" s="4" t="s">
        <v>25</v>
      </c>
      <c r="G280" s="4" t="s">
        <v>25</v>
      </c>
      <c r="H280" s="4" t="s">
        <v>25</v>
      </c>
      <c r="I280" s="5">
        <v>44440</v>
      </c>
      <c r="J280" s="6">
        <v>0</v>
      </c>
      <c r="K280" s="6">
        <v>0</v>
      </c>
      <c r="L280" s="6">
        <v>8.516</v>
      </c>
      <c r="M280" s="6">
        <v>8.0050399999999993</v>
      </c>
      <c r="N280" s="6">
        <v>8.516</v>
      </c>
      <c r="O280" s="6">
        <v>8.0050399999999993</v>
      </c>
      <c r="P280" s="6">
        <v>3</v>
      </c>
      <c r="Q280" s="4" t="s">
        <v>26</v>
      </c>
      <c r="R280" s="4">
        <v>0</v>
      </c>
      <c r="S280" s="4" t="s">
        <v>202</v>
      </c>
      <c r="T280" s="4" t="s">
        <v>327</v>
      </c>
      <c r="U280" s="4">
        <v>0</v>
      </c>
      <c r="V280" s="4">
        <v>55</v>
      </c>
      <c r="W280" s="4">
        <v>6</v>
      </c>
    </row>
    <row r="281" spans="1:23" ht="11.25" customHeight="1" x14ac:dyDescent="0.3">
      <c r="A281" s="4" t="s">
        <v>21</v>
      </c>
      <c r="B281" s="4" t="s">
        <v>33</v>
      </c>
      <c r="C281" s="4" t="s">
        <v>23</v>
      </c>
      <c r="D281" s="4" t="s">
        <v>46</v>
      </c>
      <c r="E281" s="4" t="s">
        <v>47</v>
      </c>
      <c r="F281" s="4" t="s">
        <v>25</v>
      </c>
      <c r="G281" s="4" t="s">
        <v>25</v>
      </c>
      <c r="H281" s="4" t="s">
        <v>25</v>
      </c>
      <c r="I281" s="5">
        <v>44470</v>
      </c>
      <c r="J281" s="6">
        <v>0</v>
      </c>
      <c r="K281" s="6">
        <v>0</v>
      </c>
      <c r="L281" s="6">
        <v>8.0039999999999996</v>
      </c>
      <c r="M281" s="6">
        <v>7.5237600000000002</v>
      </c>
      <c r="N281" s="6">
        <v>8.0039999999999996</v>
      </c>
      <c r="O281" s="6">
        <v>7.5237600000000002</v>
      </c>
      <c r="P281" s="6">
        <v>3</v>
      </c>
      <c r="Q281" s="4" t="s">
        <v>26</v>
      </c>
      <c r="R281" s="4">
        <v>0</v>
      </c>
      <c r="S281" s="4" t="s">
        <v>203</v>
      </c>
      <c r="T281" s="4" t="s">
        <v>328</v>
      </c>
      <c r="U281" s="4">
        <v>0</v>
      </c>
      <c r="V281" s="4">
        <v>55</v>
      </c>
      <c r="W281" s="4">
        <v>6</v>
      </c>
    </row>
    <row r="282" spans="1:23" ht="11.25" customHeight="1" x14ac:dyDescent="0.3">
      <c r="A282" s="4" t="s">
        <v>21</v>
      </c>
      <c r="B282" s="4" t="s">
        <v>33</v>
      </c>
      <c r="C282" s="4" t="s">
        <v>23</v>
      </c>
      <c r="D282" s="4" t="s">
        <v>46</v>
      </c>
      <c r="E282" s="4" t="s">
        <v>47</v>
      </c>
      <c r="F282" s="4" t="s">
        <v>25</v>
      </c>
      <c r="G282" s="4" t="s">
        <v>25</v>
      </c>
      <c r="H282" s="4" t="s">
        <v>25</v>
      </c>
      <c r="I282" s="5">
        <v>44501</v>
      </c>
      <c r="J282" s="6">
        <v>0</v>
      </c>
      <c r="K282" s="6">
        <v>0</v>
      </c>
      <c r="L282" s="6">
        <v>6.9169999999999998</v>
      </c>
      <c r="M282" s="6">
        <v>6.5019799999999996</v>
      </c>
      <c r="N282" s="6">
        <v>6.9169999999999998</v>
      </c>
      <c r="O282" s="6">
        <v>6.5019799999999996</v>
      </c>
      <c r="P282" s="6">
        <v>3</v>
      </c>
      <c r="Q282" s="4" t="s">
        <v>26</v>
      </c>
      <c r="R282" s="4">
        <v>0</v>
      </c>
      <c r="S282" s="4" t="s">
        <v>204</v>
      </c>
      <c r="T282" s="4" t="s">
        <v>329</v>
      </c>
      <c r="U282" s="4">
        <v>0</v>
      </c>
      <c r="V282" s="4">
        <v>55</v>
      </c>
      <c r="W282" s="4">
        <v>6</v>
      </c>
    </row>
    <row r="283" spans="1:23" ht="11.25" customHeight="1" x14ac:dyDescent="0.3">
      <c r="A283" s="4" t="s">
        <v>21</v>
      </c>
      <c r="B283" s="4" t="s">
        <v>33</v>
      </c>
      <c r="C283" s="4" t="s">
        <v>23</v>
      </c>
      <c r="D283" s="4" t="s">
        <v>46</v>
      </c>
      <c r="E283" s="4" t="s">
        <v>47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6.3120000000000003</v>
      </c>
      <c r="M283" s="6">
        <v>5.9332799999999999</v>
      </c>
      <c r="N283" s="6">
        <v>6.3120000000000003</v>
      </c>
      <c r="O283" s="6">
        <v>5.9332799999999999</v>
      </c>
      <c r="P283" s="6">
        <v>3</v>
      </c>
      <c r="Q283" s="4" t="s">
        <v>26</v>
      </c>
      <c r="R283" s="4">
        <v>0</v>
      </c>
      <c r="S283" s="4" t="s">
        <v>205</v>
      </c>
      <c r="T283" s="4" t="s">
        <v>330</v>
      </c>
      <c r="U283" s="4">
        <v>0</v>
      </c>
      <c r="V283" s="4">
        <v>55</v>
      </c>
      <c r="W283" s="4">
        <v>6</v>
      </c>
    </row>
    <row r="284" spans="1:23" ht="11.25" customHeight="1" x14ac:dyDescent="0.3">
      <c r="A284" s="4" t="s">
        <v>21</v>
      </c>
      <c r="B284" s="4" t="s">
        <v>33</v>
      </c>
      <c r="C284" s="4" t="s">
        <v>23</v>
      </c>
      <c r="D284" s="4" t="s">
        <v>46</v>
      </c>
      <c r="E284" s="4" t="s">
        <v>47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7.1479999999999997</v>
      </c>
      <c r="M284" s="6">
        <v>6.7191200000000002</v>
      </c>
      <c r="N284" s="6">
        <v>7.1479999999999997</v>
      </c>
      <c r="O284" s="6">
        <v>6.7191200000000002</v>
      </c>
      <c r="P284" s="6">
        <v>3</v>
      </c>
      <c r="Q284" s="4" t="s">
        <v>26</v>
      </c>
      <c r="R284" s="4">
        <v>0</v>
      </c>
      <c r="S284" s="4" t="s">
        <v>206</v>
      </c>
      <c r="T284" s="4" t="s">
        <v>331</v>
      </c>
      <c r="U284" s="4">
        <v>0</v>
      </c>
      <c r="V284" s="4">
        <v>55</v>
      </c>
      <c r="W284" s="4">
        <v>6</v>
      </c>
    </row>
    <row r="285" spans="1:23" ht="11.25" customHeight="1" x14ac:dyDescent="0.3">
      <c r="A285" s="4" t="s">
        <v>21</v>
      </c>
      <c r="B285" s="4" t="s">
        <v>33</v>
      </c>
      <c r="C285" s="4" t="s">
        <v>23</v>
      </c>
      <c r="D285" s="4" t="s">
        <v>46</v>
      </c>
      <c r="E285" s="4" t="s">
        <v>47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6.2770000000000001</v>
      </c>
      <c r="M285" s="6">
        <v>5.9003800000000002</v>
      </c>
      <c r="N285" s="6">
        <v>6.2770000000000001</v>
      </c>
      <c r="O285" s="6">
        <v>5.9003800000000002</v>
      </c>
      <c r="P285" s="6">
        <v>3</v>
      </c>
      <c r="Q285" s="4" t="s">
        <v>26</v>
      </c>
      <c r="R285" s="4">
        <v>0</v>
      </c>
      <c r="S285" s="4" t="s">
        <v>207</v>
      </c>
      <c r="T285" s="4" t="s">
        <v>332</v>
      </c>
      <c r="U285" s="4">
        <v>0</v>
      </c>
      <c r="V285" s="4">
        <v>55</v>
      </c>
      <c r="W285" s="4">
        <v>6</v>
      </c>
    </row>
    <row r="286" spans="1:23" ht="11.25" customHeight="1" x14ac:dyDescent="0.3">
      <c r="A286" s="4" t="s">
        <v>21</v>
      </c>
      <c r="B286" s="4" t="s">
        <v>33</v>
      </c>
      <c r="C286" s="4" t="s">
        <v>23</v>
      </c>
      <c r="D286" s="4" t="s">
        <v>46</v>
      </c>
      <c r="E286" s="4" t="s">
        <v>47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6">
        <v>0</v>
      </c>
      <c r="L286" s="6">
        <v>5.8730000000000002</v>
      </c>
      <c r="M286" s="6">
        <v>5.5206200000000001</v>
      </c>
      <c r="N286" s="6">
        <v>5.8730000000000002</v>
      </c>
      <c r="O286" s="6">
        <v>5.5206200000000001</v>
      </c>
      <c r="P286" s="6">
        <v>3</v>
      </c>
      <c r="Q286" s="4" t="s">
        <v>26</v>
      </c>
      <c r="R286" s="4">
        <v>0</v>
      </c>
      <c r="S286" s="4" t="s">
        <v>208</v>
      </c>
      <c r="T286" s="4" t="s">
        <v>333</v>
      </c>
      <c r="U286" s="4">
        <v>0</v>
      </c>
      <c r="V286" s="4">
        <v>55</v>
      </c>
      <c r="W286" s="4">
        <v>6</v>
      </c>
    </row>
    <row r="287" spans="1:23" ht="11.25" customHeight="1" x14ac:dyDescent="0.3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45</v>
      </c>
      <c r="F287" s="4" t="s">
        <v>25</v>
      </c>
      <c r="G287" s="4" t="s">
        <v>25</v>
      </c>
      <c r="H287" s="4" t="s">
        <v>25</v>
      </c>
      <c r="I287" s="5">
        <v>44287</v>
      </c>
      <c r="J287" s="6">
        <v>0</v>
      </c>
      <c r="K287" s="6">
        <v>0</v>
      </c>
      <c r="L287" s="6">
        <v>59.307000000000002</v>
      </c>
      <c r="M287" s="6">
        <v>59.307000000000002</v>
      </c>
      <c r="N287" s="6">
        <v>59.307000000000002</v>
      </c>
      <c r="O287" s="6">
        <v>59.307000000000002</v>
      </c>
      <c r="P287" s="6">
        <v>4</v>
      </c>
      <c r="Q287" s="4" t="s">
        <v>26</v>
      </c>
      <c r="R287" s="4">
        <v>0</v>
      </c>
      <c r="S287" s="4" t="s">
        <v>209</v>
      </c>
      <c r="T287" s="4" t="s">
        <v>334</v>
      </c>
      <c r="U287" s="4">
        <v>0</v>
      </c>
      <c r="V287" s="4">
        <v>51</v>
      </c>
      <c r="W287" s="4">
        <v>2</v>
      </c>
    </row>
    <row r="288" spans="1:23" ht="11.25" customHeight="1" x14ac:dyDescent="0.3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45</v>
      </c>
      <c r="F288" s="4" t="s">
        <v>25</v>
      </c>
      <c r="G288" s="4" t="s">
        <v>25</v>
      </c>
      <c r="H288" s="4" t="s">
        <v>25</v>
      </c>
      <c r="I288" s="5">
        <v>44317</v>
      </c>
      <c r="J288" s="6">
        <v>0</v>
      </c>
      <c r="K288" s="6">
        <v>0</v>
      </c>
      <c r="L288" s="6">
        <v>58.252000000000002</v>
      </c>
      <c r="M288" s="6">
        <v>58.252000000000002</v>
      </c>
      <c r="N288" s="6">
        <v>58.252000000000002</v>
      </c>
      <c r="O288" s="6">
        <v>58.252000000000002</v>
      </c>
      <c r="P288" s="6">
        <v>4</v>
      </c>
      <c r="Q288" s="4" t="s">
        <v>26</v>
      </c>
      <c r="R288" s="4">
        <v>0</v>
      </c>
      <c r="S288" s="4" t="s">
        <v>210</v>
      </c>
      <c r="T288" s="4" t="s">
        <v>335</v>
      </c>
      <c r="U288" s="4">
        <v>0</v>
      </c>
      <c r="V288" s="4">
        <v>51</v>
      </c>
      <c r="W288" s="4">
        <v>2</v>
      </c>
    </row>
    <row r="289" spans="1:23" ht="11.25" customHeight="1" x14ac:dyDescent="0.3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45</v>
      </c>
      <c r="F289" s="4" t="s">
        <v>25</v>
      </c>
      <c r="G289" s="4" t="s">
        <v>25</v>
      </c>
      <c r="H289" s="4" t="s">
        <v>25</v>
      </c>
      <c r="I289" s="5">
        <v>44348</v>
      </c>
      <c r="J289" s="6">
        <v>0</v>
      </c>
      <c r="K289" s="6">
        <v>0</v>
      </c>
      <c r="L289" s="6">
        <v>56.93</v>
      </c>
      <c r="M289" s="6">
        <v>56.93</v>
      </c>
      <c r="N289" s="6">
        <v>56.93</v>
      </c>
      <c r="O289" s="6">
        <v>56.93</v>
      </c>
      <c r="P289" s="6">
        <v>4</v>
      </c>
      <c r="Q289" s="4" t="s">
        <v>26</v>
      </c>
      <c r="R289" s="4">
        <v>0</v>
      </c>
      <c r="S289" s="4" t="s">
        <v>211</v>
      </c>
      <c r="T289" s="4" t="s">
        <v>336</v>
      </c>
      <c r="U289" s="4">
        <v>0</v>
      </c>
      <c r="V289" s="4">
        <v>51</v>
      </c>
      <c r="W289" s="4">
        <v>2</v>
      </c>
    </row>
    <row r="290" spans="1:23" ht="11.25" customHeight="1" x14ac:dyDescent="0.3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45</v>
      </c>
      <c r="F290" s="4" t="s">
        <v>25</v>
      </c>
      <c r="G290" s="4" t="s">
        <v>25</v>
      </c>
      <c r="H290" s="4" t="s">
        <v>25</v>
      </c>
      <c r="I290" s="5">
        <v>44378</v>
      </c>
      <c r="J290" s="6">
        <v>0</v>
      </c>
      <c r="K290" s="6">
        <v>0</v>
      </c>
      <c r="L290" s="6">
        <v>58.279000000000003</v>
      </c>
      <c r="M290" s="6">
        <v>58.279000000000003</v>
      </c>
      <c r="N290" s="6">
        <v>58.279000000000003</v>
      </c>
      <c r="O290" s="6">
        <v>58.279000000000003</v>
      </c>
      <c r="P290" s="6">
        <v>4</v>
      </c>
      <c r="Q290" s="4" t="s">
        <v>26</v>
      </c>
      <c r="R290" s="4">
        <v>0</v>
      </c>
      <c r="S290" s="4" t="s">
        <v>212</v>
      </c>
      <c r="T290" s="4" t="s">
        <v>337</v>
      </c>
      <c r="U290" s="4">
        <v>0</v>
      </c>
      <c r="V290" s="4">
        <v>51</v>
      </c>
      <c r="W290" s="4">
        <v>2</v>
      </c>
    </row>
    <row r="291" spans="1:23" ht="11.25" customHeight="1" x14ac:dyDescent="0.3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45</v>
      </c>
      <c r="F291" s="4" t="s">
        <v>25</v>
      </c>
      <c r="G291" s="4" t="s">
        <v>25</v>
      </c>
      <c r="H291" s="4" t="s">
        <v>25</v>
      </c>
      <c r="I291" s="5">
        <v>44409</v>
      </c>
      <c r="J291" s="6">
        <v>0</v>
      </c>
      <c r="K291" s="6">
        <v>0</v>
      </c>
      <c r="L291" s="6">
        <v>56.210999999999999</v>
      </c>
      <c r="M291" s="6">
        <v>56.210999999999999</v>
      </c>
      <c r="N291" s="6">
        <v>56.210999999999999</v>
      </c>
      <c r="O291" s="6">
        <v>56.210999999999999</v>
      </c>
      <c r="P291" s="6">
        <v>4</v>
      </c>
      <c r="Q291" s="4" t="s">
        <v>26</v>
      </c>
      <c r="R291" s="4">
        <v>0</v>
      </c>
      <c r="S291" s="4" t="s">
        <v>213</v>
      </c>
      <c r="T291" s="4" t="s">
        <v>338</v>
      </c>
      <c r="U291" s="4">
        <v>0</v>
      </c>
      <c r="V291" s="4">
        <v>51</v>
      </c>
      <c r="W291" s="4">
        <v>2</v>
      </c>
    </row>
    <row r="292" spans="1:23" ht="11.25" customHeight="1" x14ac:dyDescent="0.3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45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51.582000000000001</v>
      </c>
      <c r="M292" s="6">
        <v>51.582000000000001</v>
      </c>
      <c r="N292" s="6">
        <v>51.582000000000001</v>
      </c>
      <c r="O292" s="6">
        <v>51.582000000000001</v>
      </c>
      <c r="P292" s="6">
        <v>4</v>
      </c>
      <c r="Q292" s="4" t="s">
        <v>26</v>
      </c>
      <c r="R292" s="4">
        <v>0</v>
      </c>
      <c r="S292" s="4" t="s">
        <v>214</v>
      </c>
      <c r="T292" s="4" t="s">
        <v>339</v>
      </c>
      <c r="U292" s="4">
        <v>0</v>
      </c>
      <c r="V292" s="4">
        <v>51</v>
      </c>
      <c r="W292" s="4">
        <v>2</v>
      </c>
    </row>
    <row r="293" spans="1:23" ht="11.25" customHeight="1" x14ac:dyDescent="0.3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45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51.317999999999998</v>
      </c>
      <c r="M293" s="6">
        <v>51.317999999999998</v>
      </c>
      <c r="N293" s="6">
        <v>51.317999999999998</v>
      </c>
      <c r="O293" s="6">
        <v>51.317999999999998</v>
      </c>
      <c r="P293" s="6">
        <v>4</v>
      </c>
      <c r="Q293" s="4" t="s">
        <v>26</v>
      </c>
      <c r="R293" s="4">
        <v>0</v>
      </c>
      <c r="S293" s="4" t="s">
        <v>215</v>
      </c>
      <c r="T293" s="4" t="s">
        <v>340</v>
      </c>
      <c r="U293" s="4">
        <v>0</v>
      </c>
      <c r="V293" s="4">
        <v>51</v>
      </c>
      <c r="W293" s="4">
        <v>2</v>
      </c>
    </row>
    <row r="294" spans="1:23" ht="11.25" customHeight="1" x14ac:dyDescent="0.3">
      <c r="A294" s="4" t="s">
        <v>21</v>
      </c>
      <c r="B294" s="4" t="s">
        <v>43</v>
      </c>
      <c r="C294" s="4" t="s">
        <v>23</v>
      </c>
      <c r="D294" s="4" t="s">
        <v>44</v>
      </c>
      <c r="E294" s="4" t="s">
        <v>45</v>
      </c>
      <c r="F294" s="4" t="s">
        <v>25</v>
      </c>
      <c r="G294" s="4" t="s">
        <v>25</v>
      </c>
      <c r="H294" s="4" t="s">
        <v>25</v>
      </c>
      <c r="I294" s="5">
        <v>44501</v>
      </c>
      <c r="J294" s="6">
        <v>0</v>
      </c>
      <c r="K294" s="6">
        <v>0</v>
      </c>
      <c r="L294" s="6">
        <v>52.271999999999998</v>
      </c>
      <c r="M294" s="6">
        <v>52.271999999999998</v>
      </c>
      <c r="N294" s="6">
        <v>52.271999999999998</v>
      </c>
      <c r="O294" s="6">
        <v>52.271999999999998</v>
      </c>
      <c r="P294" s="6">
        <v>4</v>
      </c>
      <c r="Q294" s="4" t="s">
        <v>26</v>
      </c>
      <c r="R294" s="4">
        <v>0</v>
      </c>
      <c r="S294" s="4" t="s">
        <v>216</v>
      </c>
      <c r="T294" s="4" t="s">
        <v>341</v>
      </c>
      <c r="U294" s="4">
        <v>0</v>
      </c>
      <c r="V294" s="4">
        <v>51</v>
      </c>
      <c r="W294" s="4">
        <v>2</v>
      </c>
    </row>
    <row r="295" spans="1:23" ht="11.25" customHeight="1" x14ac:dyDescent="0.3">
      <c r="A295" s="4" t="s">
        <v>21</v>
      </c>
      <c r="B295" s="4" t="s">
        <v>43</v>
      </c>
      <c r="C295" s="4" t="s">
        <v>23</v>
      </c>
      <c r="D295" s="4" t="s">
        <v>44</v>
      </c>
      <c r="E295" s="4" t="s">
        <v>45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58.875999999999998</v>
      </c>
      <c r="M295" s="6">
        <v>58.875999999999998</v>
      </c>
      <c r="N295" s="6">
        <v>58.875999999999998</v>
      </c>
      <c r="O295" s="6">
        <v>58.875999999999998</v>
      </c>
      <c r="P295" s="6">
        <v>4</v>
      </c>
      <c r="Q295" s="4" t="s">
        <v>26</v>
      </c>
      <c r="R295" s="4">
        <v>0</v>
      </c>
      <c r="S295" s="4" t="s">
        <v>217</v>
      </c>
      <c r="T295" s="4" t="s">
        <v>342</v>
      </c>
      <c r="U295" s="4">
        <v>0</v>
      </c>
      <c r="V295" s="4">
        <v>51</v>
      </c>
      <c r="W295" s="4">
        <v>2</v>
      </c>
    </row>
    <row r="296" spans="1:23" ht="11.25" customHeight="1" x14ac:dyDescent="0.3">
      <c r="A296" s="4" t="s">
        <v>21</v>
      </c>
      <c r="B296" s="4" t="s">
        <v>43</v>
      </c>
      <c r="C296" s="4" t="s">
        <v>23</v>
      </c>
      <c r="D296" s="4" t="s">
        <v>44</v>
      </c>
      <c r="E296" s="4" t="s">
        <v>45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53.69</v>
      </c>
      <c r="M296" s="6">
        <v>53.69</v>
      </c>
      <c r="N296" s="6">
        <v>53.69</v>
      </c>
      <c r="O296" s="6">
        <v>53.69</v>
      </c>
      <c r="P296" s="6">
        <v>4</v>
      </c>
      <c r="Q296" s="4" t="s">
        <v>26</v>
      </c>
      <c r="R296" s="4">
        <v>0</v>
      </c>
      <c r="S296" s="4" t="s">
        <v>218</v>
      </c>
      <c r="T296" s="4" t="s">
        <v>343</v>
      </c>
      <c r="U296" s="4">
        <v>0</v>
      </c>
      <c r="V296" s="4">
        <v>51</v>
      </c>
      <c r="W296" s="4">
        <v>2</v>
      </c>
    </row>
    <row r="297" spans="1:23" ht="11.25" customHeight="1" x14ac:dyDescent="0.3">
      <c r="A297" s="4" t="s">
        <v>21</v>
      </c>
      <c r="B297" s="4" t="s">
        <v>43</v>
      </c>
      <c r="C297" s="4" t="s">
        <v>23</v>
      </c>
      <c r="D297" s="4" t="s">
        <v>44</v>
      </c>
      <c r="E297" s="4" t="s">
        <v>45</v>
      </c>
      <c r="F297" s="4" t="s">
        <v>25</v>
      </c>
      <c r="G297" s="4" t="s">
        <v>25</v>
      </c>
      <c r="H297" s="4" t="s">
        <v>25</v>
      </c>
      <c r="I297" s="5">
        <v>44593</v>
      </c>
      <c r="J297" s="6">
        <v>0</v>
      </c>
      <c r="K297" s="6">
        <v>0</v>
      </c>
      <c r="L297" s="6">
        <v>50.51</v>
      </c>
      <c r="M297" s="6">
        <v>50.51</v>
      </c>
      <c r="N297" s="6">
        <v>50.51</v>
      </c>
      <c r="O297" s="6">
        <v>50.51</v>
      </c>
      <c r="P297" s="6">
        <v>4</v>
      </c>
      <c r="Q297" s="4" t="s">
        <v>26</v>
      </c>
      <c r="R297" s="4">
        <v>0</v>
      </c>
      <c r="S297" s="4" t="s">
        <v>219</v>
      </c>
      <c r="T297" s="4" t="s">
        <v>344</v>
      </c>
      <c r="U297" s="4">
        <v>0</v>
      </c>
      <c r="V297" s="4">
        <v>51</v>
      </c>
      <c r="W297" s="4">
        <v>2</v>
      </c>
    </row>
    <row r="298" spans="1:23" ht="11.25" customHeight="1" x14ac:dyDescent="0.3">
      <c r="A298" s="4" t="s">
        <v>21</v>
      </c>
      <c r="B298" s="4" t="s">
        <v>43</v>
      </c>
      <c r="C298" s="4" t="s">
        <v>23</v>
      </c>
      <c r="D298" s="4" t="s">
        <v>44</v>
      </c>
      <c r="E298" s="4" t="s">
        <v>45</v>
      </c>
      <c r="F298" s="4" t="s">
        <v>25</v>
      </c>
      <c r="G298" s="4" t="s">
        <v>25</v>
      </c>
      <c r="H298" s="4" t="s">
        <v>25</v>
      </c>
      <c r="I298" s="5">
        <v>44621</v>
      </c>
      <c r="J298" s="6">
        <v>0</v>
      </c>
      <c r="K298" s="6">
        <v>0</v>
      </c>
      <c r="L298" s="6">
        <v>58.673999999999999</v>
      </c>
      <c r="M298" s="6">
        <v>58.673999999999999</v>
      </c>
      <c r="N298" s="6">
        <v>58.673999999999999</v>
      </c>
      <c r="O298" s="6">
        <v>58.673999999999999</v>
      </c>
      <c r="P298" s="6">
        <v>4</v>
      </c>
      <c r="Q298" s="4" t="s">
        <v>26</v>
      </c>
      <c r="R298" s="4">
        <v>0</v>
      </c>
      <c r="S298" s="4" t="s">
        <v>220</v>
      </c>
      <c r="T298" s="4" t="s">
        <v>345</v>
      </c>
      <c r="U298" s="4">
        <v>0</v>
      </c>
      <c r="V298" s="4">
        <v>51</v>
      </c>
      <c r="W298" s="4">
        <v>2</v>
      </c>
    </row>
  </sheetData>
  <sortState xmlns:xlrd2="http://schemas.microsoft.com/office/spreadsheetml/2017/richdata2" ref="A2:W298">
    <sortCondition ref="B2:B298"/>
    <sortCondition ref="C2:C298"/>
    <sortCondition ref="D2:D298"/>
    <sortCondition ref="E2:E298"/>
    <sortCondition ref="F2:F298"/>
    <sortCondition ref="H2:H298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223D-D2B5-493D-89A8-BF1080DCC034}">
  <dimension ref="A1:H29"/>
  <sheetViews>
    <sheetView showGridLines="0" workbookViewId="0">
      <selection activeCell="H1" sqref="H1"/>
    </sheetView>
  </sheetViews>
  <sheetFormatPr defaultColWidth="9.109375" defaultRowHeight="11.25" customHeight="1" x14ac:dyDescent="0.3"/>
  <cols>
    <col min="1" max="1" width="12.109375" style="8" bestFit="1" customWidth="1"/>
    <col min="2" max="2" width="15.88671875" style="8" bestFit="1" customWidth="1"/>
    <col min="3" max="3" width="4.6640625" style="8" bestFit="1" customWidth="1"/>
    <col min="4" max="4" width="6.44140625" style="8" bestFit="1" customWidth="1"/>
    <col min="5" max="5" width="8.44140625" style="8" bestFit="1" customWidth="1"/>
    <col min="6" max="6" width="9.109375" style="8"/>
    <col min="7" max="7" width="18.5546875" style="8" bestFit="1" customWidth="1"/>
    <col min="8" max="8" width="2" style="8" bestFit="1" customWidth="1"/>
    <col min="9" max="16384" width="9.109375" style="8"/>
  </cols>
  <sheetData>
    <row r="1" spans="1:8" s="7" customFormat="1" ht="11.25" customHeight="1" x14ac:dyDescent="0.3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G1" s="7" t="s">
        <v>56</v>
      </c>
      <c r="H1" s="7">
        <f>COUNTA(A:A)</f>
        <v>29</v>
      </c>
    </row>
    <row r="2" spans="1:8" ht="11.25" customHeight="1" x14ac:dyDescent="0.3">
      <c r="A2" s="8" t="s">
        <v>234</v>
      </c>
      <c r="B2" s="8" t="s">
        <v>235</v>
      </c>
      <c r="C2" s="8" t="s">
        <v>236</v>
      </c>
      <c r="D2" s="8">
        <v>14</v>
      </c>
      <c r="E2" s="8" t="s">
        <v>237</v>
      </c>
    </row>
    <row r="3" spans="1:8" ht="11.25" customHeight="1" x14ac:dyDescent="0.3">
      <c r="A3" s="8" t="s">
        <v>234</v>
      </c>
      <c r="B3" s="8" t="s">
        <v>235</v>
      </c>
      <c r="C3" s="8" t="s">
        <v>236</v>
      </c>
      <c r="D3" s="8">
        <v>15</v>
      </c>
      <c r="E3" s="8" t="s">
        <v>237</v>
      </c>
    </row>
    <row r="4" spans="1:8" ht="11.25" customHeight="1" x14ac:dyDescent="0.3">
      <c r="A4" s="8" t="s">
        <v>234</v>
      </c>
      <c r="B4" s="8" t="s">
        <v>235</v>
      </c>
      <c r="C4" s="8" t="s">
        <v>236</v>
      </c>
      <c r="D4" s="8">
        <v>16</v>
      </c>
      <c r="E4" s="8" t="s">
        <v>237</v>
      </c>
    </row>
    <row r="5" spans="1:8" ht="11.25" customHeight="1" x14ac:dyDescent="0.3">
      <c r="A5" s="8" t="s">
        <v>234</v>
      </c>
      <c r="B5" s="8" t="s">
        <v>235</v>
      </c>
      <c r="C5" s="8" t="s">
        <v>236</v>
      </c>
      <c r="D5" s="8">
        <v>17</v>
      </c>
      <c r="E5" s="8" t="s">
        <v>237</v>
      </c>
    </row>
    <row r="6" spans="1:8" ht="11.25" customHeight="1" x14ac:dyDescent="0.3">
      <c r="A6" s="8" t="s">
        <v>234</v>
      </c>
      <c r="B6" s="8" t="s">
        <v>235</v>
      </c>
      <c r="C6" s="8" t="s">
        <v>236</v>
      </c>
      <c r="D6" s="8">
        <v>18</v>
      </c>
      <c r="E6" s="8" t="s">
        <v>237</v>
      </c>
    </row>
    <row r="7" spans="1:8" ht="11.25" customHeight="1" x14ac:dyDescent="0.3">
      <c r="A7" s="8" t="s">
        <v>234</v>
      </c>
      <c r="B7" s="8" t="s">
        <v>235</v>
      </c>
      <c r="C7" s="8" t="s">
        <v>236</v>
      </c>
      <c r="D7" s="8">
        <v>19</v>
      </c>
      <c r="E7" s="8" t="s">
        <v>237</v>
      </c>
    </row>
    <row r="8" spans="1:8" ht="11.25" customHeight="1" x14ac:dyDescent="0.3">
      <c r="A8" s="8" t="s">
        <v>234</v>
      </c>
      <c r="B8" s="8" t="s">
        <v>235</v>
      </c>
      <c r="C8" s="8" t="s">
        <v>236</v>
      </c>
      <c r="D8" s="8">
        <v>20</v>
      </c>
      <c r="E8" s="8" t="s">
        <v>237</v>
      </c>
    </row>
    <row r="9" spans="1:8" ht="11.25" customHeight="1" x14ac:dyDescent="0.3">
      <c r="A9" s="8" t="s">
        <v>234</v>
      </c>
      <c r="B9" s="8" t="s">
        <v>235</v>
      </c>
      <c r="C9" s="8" t="s">
        <v>236</v>
      </c>
      <c r="D9" s="8">
        <v>21</v>
      </c>
      <c r="E9" s="8" t="s">
        <v>237</v>
      </c>
    </row>
    <row r="10" spans="1:8" ht="11.25" customHeight="1" x14ac:dyDescent="0.3">
      <c r="A10" s="8" t="s">
        <v>234</v>
      </c>
      <c r="B10" s="8" t="s">
        <v>235</v>
      </c>
      <c r="C10" s="8" t="s">
        <v>236</v>
      </c>
      <c r="D10" s="8">
        <v>22</v>
      </c>
      <c r="E10" s="8" t="s">
        <v>237</v>
      </c>
    </row>
    <row r="11" spans="1:8" ht="11.25" customHeight="1" x14ac:dyDescent="0.3">
      <c r="A11" s="8" t="s">
        <v>234</v>
      </c>
      <c r="B11" s="8" t="s">
        <v>235</v>
      </c>
      <c r="C11" s="8" t="s">
        <v>236</v>
      </c>
      <c r="D11" s="8">
        <v>23</v>
      </c>
      <c r="E11" s="8" t="s">
        <v>237</v>
      </c>
    </row>
    <row r="12" spans="1:8" ht="11.25" customHeight="1" x14ac:dyDescent="0.3">
      <c r="A12" s="8" t="s">
        <v>234</v>
      </c>
      <c r="B12" s="8" t="s">
        <v>235</v>
      </c>
      <c r="C12" s="8" t="s">
        <v>236</v>
      </c>
      <c r="D12" s="8">
        <v>24</v>
      </c>
      <c r="E12" s="8" t="s">
        <v>237</v>
      </c>
    </row>
    <row r="13" spans="1:8" ht="11.25" customHeight="1" x14ac:dyDescent="0.3">
      <c r="A13" s="8" t="s">
        <v>234</v>
      </c>
      <c r="B13" s="8" t="s">
        <v>235</v>
      </c>
      <c r="C13" s="8" t="s">
        <v>236</v>
      </c>
      <c r="D13" s="8">
        <v>25</v>
      </c>
      <c r="E13" s="8" t="s">
        <v>237</v>
      </c>
    </row>
    <row r="14" spans="1:8" ht="11.25" customHeight="1" x14ac:dyDescent="0.3">
      <c r="A14" s="8" t="s">
        <v>234</v>
      </c>
      <c r="B14" s="8" t="s">
        <v>235</v>
      </c>
      <c r="C14" s="8" t="s">
        <v>236</v>
      </c>
      <c r="D14" s="8">
        <v>42</v>
      </c>
      <c r="E14" s="8" t="s">
        <v>237</v>
      </c>
    </row>
    <row r="15" spans="1:8" ht="11.25" customHeight="1" x14ac:dyDescent="0.3">
      <c r="A15" s="8" t="s">
        <v>234</v>
      </c>
      <c r="B15" s="8" t="s">
        <v>235</v>
      </c>
      <c r="C15" s="8" t="s">
        <v>236</v>
      </c>
      <c r="D15" s="8">
        <v>43</v>
      </c>
      <c r="E15" s="8" t="s">
        <v>237</v>
      </c>
    </row>
    <row r="16" spans="1:8" ht="11.25" customHeight="1" x14ac:dyDescent="0.3">
      <c r="A16" s="8" t="s">
        <v>234</v>
      </c>
      <c r="B16" s="8" t="s">
        <v>235</v>
      </c>
      <c r="C16" s="8" t="s">
        <v>236</v>
      </c>
      <c r="D16" s="8">
        <v>44</v>
      </c>
      <c r="E16" s="8" t="s">
        <v>237</v>
      </c>
    </row>
    <row r="17" spans="1:5" ht="11.25" customHeight="1" x14ac:dyDescent="0.3">
      <c r="A17" s="8" t="s">
        <v>234</v>
      </c>
      <c r="B17" s="8" t="s">
        <v>235</v>
      </c>
      <c r="C17" s="8" t="s">
        <v>236</v>
      </c>
      <c r="D17" s="8">
        <v>45</v>
      </c>
      <c r="E17" s="8" t="s">
        <v>237</v>
      </c>
    </row>
    <row r="18" spans="1:5" ht="11.25" customHeight="1" x14ac:dyDescent="0.3">
      <c r="A18" s="8" t="s">
        <v>234</v>
      </c>
      <c r="B18" s="8" t="s">
        <v>235</v>
      </c>
      <c r="C18" s="8" t="s">
        <v>236</v>
      </c>
      <c r="D18" s="8">
        <v>58</v>
      </c>
      <c r="E18" s="8" t="s">
        <v>237</v>
      </c>
    </row>
    <row r="19" spans="1:5" ht="11.25" customHeight="1" x14ac:dyDescent="0.3">
      <c r="A19" s="8" t="s">
        <v>234</v>
      </c>
      <c r="B19" s="8" t="s">
        <v>235</v>
      </c>
      <c r="C19" s="8" t="s">
        <v>236</v>
      </c>
      <c r="D19" s="8">
        <v>59</v>
      </c>
      <c r="E19" s="8" t="s">
        <v>237</v>
      </c>
    </row>
    <row r="20" spans="1:5" ht="11.25" customHeight="1" x14ac:dyDescent="0.3">
      <c r="A20" s="8" t="s">
        <v>234</v>
      </c>
      <c r="B20" s="8" t="s">
        <v>235</v>
      </c>
      <c r="C20" s="8" t="s">
        <v>236</v>
      </c>
      <c r="D20" s="8">
        <v>60</v>
      </c>
      <c r="E20" s="8" t="s">
        <v>237</v>
      </c>
    </row>
    <row r="21" spans="1:5" ht="11.25" customHeight="1" x14ac:dyDescent="0.3">
      <c r="A21" s="8" t="s">
        <v>234</v>
      </c>
      <c r="B21" s="8" t="s">
        <v>235</v>
      </c>
      <c r="C21" s="8" t="s">
        <v>236</v>
      </c>
      <c r="D21" s="8">
        <v>61</v>
      </c>
      <c r="E21" s="8" t="s">
        <v>237</v>
      </c>
    </row>
    <row r="22" spans="1:5" ht="11.25" customHeight="1" x14ac:dyDescent="0.3">
      <c r="A22" s="8" t="s">
        <v>234</v>
      </c>
      <c r="B22" s="8" t="s">
        <v>235</v>
      </c>
      <c r="C22" s="8" t="s">
        <v>236</v>
      </c>
      <c r="D22" s="8">
        <v>62</v>
      </c>
      <c r="E22" s="8" t="s">
        <v>237</v>
      </c>
    </row>
    <row r="23" spans="1:5" ht="11.25" customHeight="1" x14ac:dyDescent="0.3">
      <c r="A23" s="8" t="s">
        <v>234</v>
      </c>
      <c r="B23" s="8" t="s">
        <v>235</v>
      </c>
      <c r="C23" s="8" t="s">
        <v>236</v>
      </c>
      <c r="D23" s="8">
        <v>63</v>
      </c>
      <c r="E23" s="8" t="s">
        <v>237</v>
      </c>
    </row>
    <row r="24" spans="1:5" ht="11.25" customHeight="1" x14ac:dyDescent="0.3">
      <c r="A24" s="8" t="s">
        <v>234</v>
      </c>
      <c r="B24" s="8" t="s">
        <v>235</v>
      </c>
      <c r="C24" s="8" t="s">
        <v>236</v>
      </c>
      <c r="D24" s="8">
        <v>64</v>
      </c>
      <c r="E24" s="8" t="s">
        <v>237</v>
      </c>
    </row>
    <row r="25" spans="1:5" ht="11.25" customHeight="1" x14ac:dyDescent="0.3">
      <c r="A25" s="8" t="s">
        <v>234</v>
      </c>
      <c r="B25" s="8" t="s">
        <v>235</v>
      </c>
      <c r="C25" s="8" t="s">
        <v>236</v>
      </c>
      <c r="D25" s="8">
        <v>65</v>
      </c>
      <c r="E25" s="8" t="s">
        <v>237</v>
      </c>
    </row>
    <row r="26" spans="1:5" ht="11.25" customHeight="1" x14ac:dyDescent="0.3">
      <c r="A26" s="8" t="s">
        <v>234</v>
      </c>
      <c r="C26" s="8" t="s">
        <v>434</v>
      </c>
      <c r="D26" s="8">
        <v>39</v>
      </c>
      <c r="E26" s="8" t="s">
        <v>9</v>
      </c>
    </row>
    <row r="27" spans="1:5" ht="11.25" customHeight="1" x14ac:dyDescent="0.3">
      <c r="A27" s="8" t="s">
        <v>234</v>
      </c>
      <c r="C27" s="8" t="s">
        <v>434</v>
      </c>
      <c r="D27" s="8">
        <v>39</v>
      </c>
      <c r="E27" s="8" t="s">
        <v>9</v>
      </c>
    </row>
    <row r="28" spans="1:5" ht="11.25" customHeight="1" x14ac:dyDescent="0.3">
      <c r="A28" s="8" t="s">
        <v>234</v>
      </c>
      <c r="C28" s="8" t="s">
        <v>434</v>
      </c>
      <c r="D28" s="8">
        <v>39</v>
      </c>
      <c r="E28" s="8" t="s">
        <v>9</v>
      </c>
    </row>
    <row r="29" spans="1:5" ht="11.25" customHeight="1" x14ac:dyDescent="0.3">
      <c r="A29" s="8" t="s">
        <v>234</v>
      </c>
      <c r="C29" s="8" t="s">
        <v>434</v>
      </c>
      <c r="D29" s="8">
        <v>39</v>
      </c>
      <c r="E29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9E8F-136F-4605-945D-01CF1689632A}">
  <dimension ref="A1:AX85"/>
  <sheetViews>
    <sheetView showGridLines="0" workbookViewId="0"/>
  </sheetViews>
  <sheetFormatPr defaultColWidth="9.109375" defaultRowHeight="10.199999999999999" x14ac:dyDescent="0.3"/>
  <cols>
    <col min="1" max="1" width="4.6640625" style="47" bestFit="1" customWidth="1"/>
    <col min="2" max="2" width="8.88671875" style="47" bestFit="1" customWidth="1"/>
    <col min="3" max="3" width="8.6640625" style="47" bestFit="1" customWidth="1"/>
    <col min="4" max="4" width="27.109375" style="47" bestFit="1" customWidth="1"/>
    <col min="5" max="5" width="13.5546875" style="47" bestFit="1" customWidth="1"/>
    <col min="6" max="6" width="25.109375" style="47" bestFit="1" customWidth="1"/>
    <col min="7" max="9" width="10.33203125" style="47" bestFit="1" customWidth="1"/>
    <col min="10" max="10" width="6.88671875" style="47" bestFit="1" customWidth="1"/>
    <col min="11" max="11" width="4.5546875" style="47" bestFit="1" customWidth="1"/>
    <col min="12" max="12" width="4.44140625" style="47" bestFit="1" customWidth="1"/>
    <col min="13" max="13" width="6.6640625" style="47" bestFit="1" customWidth="1"/>
    <col min="14" max="14" width="6.33203125" style="47" bestFit="1" customWidth="1"/>
    <col min="15" max="15" width="11.109375" style="47" bestFit="1" customWidth="1"/>
    <col min="16" max="16" width="10.44140625" style="47" bestFit="1" customWidth="1"/>
    <col min="17" max="16384" width="9.109375" style="47"/>
  </cols>
  <sheetData>
    <row r="1" spans="1:50" ht="11.25" customHeight="1" x14ac:dyDescent="0.3">
      <c r="A1" s="48" t="s">
        <v>495</v>
      </c>
      <c r="B1" s="48" t="s">
        <v>485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486</v>
      </c>
      <c r="K1" s="48" t="s">
        <v>487</v>
      </c>
      <c r="L1" s="48" t="s">
        <v>488</v>
      </c>
      <c r="M1" s="48" t="s">
        <v>489</v>
      </c>
      <c r="N1" s="48" t="s">
        <v>490</v>
      </c>
      <c r="O1" s="48" t="s">
        <v>367</v>
      </c>
      <c r="P1" s="48" t="s">
        <v>353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</row>
    <row r="2" spans="1:50" ht="11.25" customHeight="1" x14ac:dyDescent="0.3">
      <c r="A2" s="49">
        <v>1</v>
      </c>
      <c r="B2" s="49" t="s">
        <v>375</v>
      </c>
      <c r="C2" s="49" t="s">
        <v>33</v>
      </c>
      <c r="D2" s="49" t="s">
        <v>83</v>
      </c>
      <c r="E2" s="49" t="s">
        <v>25</v>
      </c>
      <c r="F2" s="49" t="s">
        <v>25</v>
      </c>
      <c r="G2" s="49" t="s">
        <v>25</v>
      </c>
      <c r="H2" s="49" t="s">
        <v>25</v>
      </c>
      <c r="I2" s="49" t="s">
        <v>25</v>
      </c>
      <c r="J2" s="49" t="s">
        <v>491</v>
      </c>
      <c r="K2" s="49" t="s">
        <v>492</v>
      </c>
      <c r="L2" s="49" t="s">
        <v>67</v>
      </c>
      <c r="M2" s="49">
        <v>2021</v>
      </c>
      <c r="N2" s="49">
        <v>0</v>
      </c>
      <c r="O2" s="49">
        <v>201.73</v>
      </c>
      <c r="P2" s="49"/>
    </row>
    <row r="3" spans="1:50" ht="11.25" customHeight="1" x14ac:dyDescent="0.3">
      <c r="A3" s="49">
        <v>2</v>
      </c>
      <c r="B3" s="49" t="s">
        <v>375</v>
      </c>
      <c r="C3" s="49" t="s">
        <v>43</v>
      </c>
      <c r="D3" s="49" t="s">
        <v>81</v>
      </c>
      <c r="E3" s="49" t="s">
        <v>44</v>
      </c>
      <c r="F3" s="49" t="s">
        <v>45</v>
      </c>
      <c r="G3" s="49" t="s">
        <v>25</v>
      </c>
      <c r="H3" s="49" t="s">
        <v>25</v>
      </c>
      <c r="I3" s="49" t="s">
        <v>25</v>
      </c>
      <c r="J3" s="49" t="s">
        <v>491</v>
      </c>
      <c r="K3" s="49" t="s">
        <v>492</v>
      </c>
      <c r="L3" s="49" t="s">
        <v>67</v>
      </c>
      <c r="M3" s="49">
        <v>2021</v>
      </c>
      <c r="N3" s="49">
        <v>0</v>
      </c>
      <c r="O3" s="49">
        <v>106.92</v>
      </c>
      <c r="P3" s="49"/>
    </row>
    <row r="4" spans="1:50" ht="11.25" customHeight="1" x14ac:dyDescent="0.3">
      <c r="A4" s="49">
        <v>3</v>
      </c>
      <c r="B4" s="49" t="s">
        <v>375</v>
      </c>
      <c r="C4" s="49" t="s">
        <v>43</v>
      </c>
      <c r="D4" s="49" t="s">
        <v>81</v>
      </c>
      <c r="E4" s="49" t="s">
        <v>44</v>
      </c>
      <c r="F4" s="49" t="s">
        <v>87</v>
      </c>
      <c r="G4" s="49" t="s">
        <v>25</v>
      </c>
      <c r="H4" s="49" t="s">
        <v>25</v>
      </c>
      <c r="I4" s="49" t="s">
        <v>25</v>
      </c>
      <c r="J4" s="49" t="s">
        <v>491</v>
      </c>
      <c r="K4" s="49" t="s">
        <v>492</v>
      </c>
      <c r="L4" s="49" t="s">
        <v>67</v>
      </c>
      <c r="M4" s="49">
        <v>2021</v>
      </c>
      <c r="N4" s="49">
        <v>0</v>
      </c>
      <c r="O4" s="49">
        <v>117.01</v>
      </c>
      <c r="P4" s="49"/>
    </row>
    <row r="5" spans="1:50" ht="11.25" customHeight="1" x14ac:dyDescent="0.3">
      <c r="A5" s="49">
        <v>4</v>
      </c>
      <c r="B5" s="49" t="s">
        <v>375</v>
      </c>
      <c r="C5" s="49" t="s">
        <v>33</v>
      </c>
      <c r="D5" s="49" t="s">
        <v>66</v>
      </c>
      <c r="E5" s="49" t="s">
        <v>25</v>
      </c>
      <c r="F5" s="49" t="s">
        <v>25</v>
      </c>
      <c r="G5" s="49" t="s">
        <v>25</v>
      </c>
      <c r="H5" s="49" t="s">
        <v>25</v>
      </c>
      <c r="I5" s="49" t="s">
        <v>493</v>
      </c>
      <c r="J5" s="49" t="s">
        <v>491</v>
      </c>
      <c r="K5" s="49" t="s">
        <v>492</v>
      </c>
      <c r="L5" s="49" t="s">
        <v>67</v>
      </c>
      <c r="M5" s="49">
        <v>2021</v>
      </c>
      <c r="N5" s="49">
        <v>0</v>
      </c>
      <c r="O5" s="49">
        <v>201.73</v>
      </c>
      <c r="P5" s="49"/>
    </row>
    <row r="6" spans="1:50" ht="11.25" customHeight="1" x14ac:dyDescent="0.3">
      <c r="A6" s="49">
        <v>5</v>
      </c>
      <c r="B6" s="49" t="s">
        <v>375</v>
      </c>
      <c r="C6" s="49" t="s">
        <v>33</v>
      </c>
      <c r="D6" s="49" t="s">
        <v>66</v>
      </c>
      <c r="E6" s="49" t="s">
        <v>25</v>
      </c>
      <c r="F6" s="49" t="s">
        <v>25</v>
      </c>
      <c r="G6" s="49" t="s">
        <v>25</v>
      </c>
      <c r="H6" s="49" t="s">
        <v>25</v>
      </c>
      <c r="I6" s="49" t="s">
        <v>39</v>
      </c>
      <c r="J6" s="49" t="s">
        <v>491</v>
      </c>
      <c r="K6" s="49" t="s">
        <v>492</v>
      </c>
      <c r="L6" s="49" t="s">
        <v>67</v>
      </c>
      <c r="M6" s="49">
        <v>2021</v>
      </c>
      <c r="N6" s="49">
        <v>0</v>
      </c>
      <c r="O6" s="49">
        <v>201.73</v>
      </c>
      <c r="P6" s="49"/>
    </row>
    <row r="7" spans="1:50" ht="11.25" customHeight="1" x14ac:dyDescent="0.3">
      <c r="A7" s="49">
        <v>6</v>
      </c>
      <c r="B7" s="49" t="s">
        <v>375</v>
      </c>
      <c r="C7" s="49" t="s">
        <v>33</v>
      </c>
      <c r="D7" s="49" t="s">
        <v>81</v>
      </c>
      <c r="E7" s="49" t="s">
        <v>25</v>
      </c>
      <c r="F7" s="49" t="s">
        <v>25</v>
      </c>
      <c r="G7" s="49" t="s">
        <v>25</v>
      </c>
      <c r="H7" s="49" t="s">
        <v>25</v>
      </c>
      <c r="I7" s="49" t="s">
        <v>25</v>
      </c>
      <c r="J7" s="49" t="s">
        <v>491</v>
      </c>
      <c r="K7" s="49" t="s">
        <v>492</v>
      </c>
      <c r="L7" s="49" t="s">
        <v>67</v>
      </c>
      <c r="M7" s="49">
        <v>2021</v>
      </c>
      <c r="N7" s="49">
        <v>0</v>
      </c>
      <c r="O7" s="49">
        <v>201.73</v>
      </c>
      <c r="P7" s="49"/>
    </row>
    <row r="8" spans="1:50" ht="11.25" customHeight="1" x14ac:dyDescent="0.3">
      <c r="A8" s="49">
        <v>7</v>
      </c>
      <c r="B8" s="49" t="s">
        <v>375</v>
      </c>
      <c r="C8" s="49" t="s">
        <v>40</v>
      </c>
      <c r="D8" s="49" t="s">
        <v>83</v>
      </c>
      <c r="E8" s="49" t="s">
        <v>41</v>
      </c>
      <c r="F8" s="49" t="s">
        <v>85</v>
      </c>
      <c r="G8" s="49" t="s">
        <v>25</v>
      </c>
      <c r="H8" s="49" t="s">
        <v>25</v>
      </c>
      <c r="I8" s="49" t="s">
        <v>25</v>
      </c>
      <c r="J8" s="49" t="s">
        <v>491</v>
      </c>
      <c r="K8" s="49" t="s">
        <v>492</v>
      </c>
      <c r="L8" s="49" t="s">
        <v>67</v>
      </c>
      <c r="M8" s="49">
        <v>2021</v>
      </c>
      <c r="N8" s="49">
        <v>0</v>
      </c>
      <c r="O8" s="49">
        <v>177.53</v>
      </c>
      <c r="P8" s="49"/>
    </row>
    <row r="9" spans="1:50" ht="11.25" customHeight="1" x14ac:dyDescent="0.3">
      <c r="A9" s="49">
        <v>8</v>
      </c>
      <c r="B9" s="49" t="s">
        <v>375</v>
      </c>
      <c r="C9" s="49" t="s">
        <v>40</v>
      </c>
      <c r="D9" s="49" t="s">
        <v>83</v>
      </c>
      <c r="E9" s="49" t="s">
        <v>41</v>
      </c>
      <c r="F9" s="49" t="s">
        <v>86</v>
      </c>
      <c r="G9" s="49" t="s">
        <v>25</v>
      </c>
      <c r="H9" s="49" t="s">
        <v>25</v>
      </c>
      <c r="I9" s="49" t="s">
        <v>25</v>
      </c>
      <c r="J9" s="49" t="s">
        <v>491</v>
      </c>
      <c r="K9" s="49" t="s">
        <v>492</v>
      </c>
      <c r="L9" s="49" t="s">
        <v>67</v>
      </c>
      <c r="M9" s="49">
        <v>2021</v>
      </c>
      <c r="N9" s="49">
        <v>0</v>
      </c>
      <c r="O9" s="49">
        <v>169.46</v>
      </c>
      <c r="P9" s="49"/>
    </row>
    <row r="10" spans="1:50" ht="11.25" customHeight="1" x14ac:dyDescent="0.3">
      <c r="A10" s="49">
        <v>9</v>
      </c>
      <c r="B10" s="49" t="s">
        <v>375</v>
      </c>
      <c r="C10" s="49" t="s">
        <v>33</v>
      </c>
      <c r="D10" s="49" t="s">
        <v>66</v>
      </c>
      <c r="E10" s="49" t="s">
        <v>25</v>
      </c>
      <c r="F10" s="49" t="s">
        <v>25</v>
      </c>
      <c r="G10" s="49" t="s">
        <v>25</v>
      </c>
      <c r="H10" s="49" t="s">
        <v>25</v>
      </c>
      <c r="I10" s="49" t="s">
        <v>38</v>
      </c>
      <c r="J10" s="49" t="s">
        <v>491</v>
      </c>
      <c r="K10" s="49" t="s">
        <v>492</v>
      </c>
      <c r="L10" s="49" t="s">
        <v>67</v>
      </c>
      <c r="M10" s="49">
        <v>2021</v>
      </c>
      <c r="N10" s="49">
        <v>0</v>
      </c>
      <c r="O10" s="49">
        <v>201.73</v>
      </c>
      <c r="P10" s="49"/>
    </row>
    <row r="11" spans="1:50" ht="11.25" customHeight="1" x14ac:dyDescent="0.3">
      <c r="A11" s="49">
        <v>10</v>
      </c>
      <c r="B11" s="49" t="s">
        <v>375</v>
      </c>
      <c r="C11" s="49" t="s">
        <v>40</v>
      </c>
      <c r="D11" s="49" t="s">
        <v>66</v>
      </c>
      <c r="E11" s="49" t="s">
        <v>41</v>
      </c>
      <c r="F11" s="49" t="s">
        <v>86</v>
      </c>
      <c r="G11" s="49" t="s">
        <v>25</v>
      </c>
      <c r="H11" s="49" t="s">
        <v>25</v>
      </c>
      <c r="I11" s="49" t="s">
        <v>493</v>
      </c>
      <c r="J11" s="49" t="s">
        <v>491</v>
      </c>
      <c r="K11" s="49" t="s">
        <v>492</v>
      </c>
      <c r="L11" s="49" t="s">
        <v>67</v>
      </c>
      <c r="M11" s="49">
        <v>2021</v>
      </c>
      <c r="N11" s="49">
        <v>0</v>
      </c>
      <c r="O11" s="49">
        <v>169.46</v>
      </c>
      <c r="P11" s="49"/>
    </row>
    <row r="12" spans="1:50" ht="11.25" customHeight="1" x14ac:dyDescent="0.3">
      <c r="A12" s="49">
        <v>11</v>
      </c>
      <c r="B12" s="49" t="s">
        <v>375</v>
      </c>
      <c r="C12" s="49" t="s">
        <v>40</v>
      </c>
      <c r="D12" s="49" t="s">
        <v>66</v>
      </c>
      <c r="E12" s="49" t="s">
        <v>41</v>
      </c>
      <c r="F12" s="49" t="s">
        <v>86</v>
      </c>
      <c r="G12" s="49" t="s">
        <v>25</v>
      </c>
      <c r="H12" s="49" t="s">
        <v>25</v>
      </c>
      <c r="I12" s="49" t="s">
        <v>39</v>
      </c>
      <c r="J12" s="49" t="s">
        <v>491</v>
      </c>
      <c r="K12" s="49" t="s">
        <v>492</v>
      </c>
      <c r="L12" s="49" t="s">
        <v>67</v>
      </c>
      <c r="M12" s="49">
        <v>2021</v>
      </c>
      <c r="N12" s="49">
        <v>0</v>
      </c>
      <c r="O12" s="49">
        <v>169.46</v>
      </c>
      <c r="P12" s="49"/>
    </row>
    <row r="13" spans="1:50" ht="11.25" customHeight="1" x14ac:dyDescent="0.3">
      <c r="A13" s="49">
        <v>12</v>
      </c>
      <c r="B13" s="49" t="s">
        <v>375</v>
      </c>
      <c r="C13" s="49" t="s">
        <v>40</v>
      </c>
      <c r="D13" s="49" t="s">
        <v>81</v>
      </c>
      <c r="E13" s="49" t="s">
        <v>41</v>
      </c>
      <c r="F13" s="49" t="s">
        <v>86</v>
      </c>
      <c r="G13" s="49" t="s">
        <v>25</v>
      </c>
      <c r="H13" s="49" t="s">
        <v>25</v>
      </c>
      <c r="I13" s="49" t="s">
        <v>25</v>
      </c>
      <c r="J13" s="49" t="s">
        <v>491</v>
      </c>
      <c r="K13" s="49" t="s">
        <v>492</v>
      </c>
      <c r="L13" s="49" t="s">
        <v>67</v>
      </c>
      <c r="M13" s="49">
        <v>2021</v>
      </c>
      <c r="N13" s="49">
        <v>0</v>
      </c>
      <c r="O13" s="49">
        <v>169.46</v>
      </c>
      <c r="P13" s="49"/>
    </row>
    <row r="14" spans="1:50" ht="11.25" customHeight="1" x14ac:dyDescent="0.3">
      <c r="A14" s="49">
        <v>13</v>
      </c>
      <c r="B14" s="49" t="s">
        <v>375</v>
      </c>
      <c r="C14" s="49" t="s">
        <v>40</v>
      </c>
      <c r="D14" s="49" t="s">
        <v>83</v>
      </c>
      <c r="E14" s="49" t="s">
        <v>41</v>
      </c>
      <c r="F14" s="49" t="s">
        <v>25</v>
      </c>
      <c r="G14" s="49" t="s">
        <v>25</v>
      </c>
      <c r="H14" s="49" t="s">
        <v>25</v>
      </c>
      <c r="I14" s="49" t="s">
        <v>25</v>
      </c>
      <c r="J14" s="49" t="s">
        <v>491</v>
      </c>
      <c r="K14" s="49" t="s">
        <v>492</v>
      </c>
      <c r="L14" s="49" t="s">
        <v>67</v>
      </c>
      <c r="M14" s="49">
        <v>2021</v>
      </c>
      <c r="N14" s="49">
        <v>0</v>
      </c>
      <c r="O14" s="49">
        <v>177.53</v>
      </c>
      <c r="P14" s="49"/>
    </row>
    <row r="15" spans="1:50" ht="11.25" customHeight="1" x14ac:dyDescent="0.3">
      <c r="A15" s="49">
        <v>14</v>
      </c>
      <c r="B15" s="49" t="s">
        <v>375</v>
      </c>
      <c r="C15" s="49" t="s">
        <v>40</v>
      </c>
      <c r="D15" s="49" t="s">
        <v>66</v>
      </c>
      <c r="E15" s="49" t="s">
        <v>41</v>
      </c>
      <c r="F15" s="49" t="s">
        <v>85</v>
      </c>
      <c r="G15" s="49" t="s">
        <v>25</v>
      </c>
      <c r="H15" s="49" t="s">
        <v>25</v>
      </c>
      <c r="I15" s="49" t="s">
        <v>39</v>
      </c>
      <c r="J15" s="49" t="s">
        <v>491</v>
      </c>
      <c r="K15" s="49" t="s">
        <v>492</v>
      </c>
      <c r="L15" s="49" t="s">
        <v>67</v>
      </c>
      <c r="M15" s="49">
        <v>2021</v>
      </c>
      <c r="N15" s="49">
        <v>0</v>
      </c>
      <c r="O15" s="49">
        <v>177.53</v>
      </c>
      <c r="P15" s="49"/>
    </row>
    <row r="16" spans="1:50" ht="11.25" customHeight="1" x14ac:dyDescent="0.3">
      <c r="A16" s="49">
        <v>15</v>
      </c>
      <c r="B16" s="49" t="s">
        <v>375</v>
      </c>
      <c r="C16" s="49" t="s">
        <v>40</v>
      </c>
      <c r="D16" s="49" t="s">
        <v>81</v>
      </c>
      <c r="E16" s="49" t="s">
        <v>41</v>
      </c>
      <c r="F16" s="49" t="s">
        <v>85</v>
      </c>
      <c r="G16" s="49" t="s">
        <v>25</v>
      </c>
      <c r="H16" s="49" t="s">
        <v>25</v>
      </c>
      <c r="I16" s="49" t="s">
        <v>25</v>
      </c>
      <c r="J16" s="49" t="s">
        <v>491</v>
      </c>
      <c r="K16" s="49" t="s">
        <v>492</v>
      </c>
      <c r="L16" s="49" t="s">
        <v>67</v>
      </c>
      <c r="M16" s="49">
        <v>2021</v>
      </c>
      <c r="N16" s="49">
        <v>0</v>
      </c>
      <c r="O16" s="49">
        <v>177.53</v>
      </c>
      <c r="P16" s="49"/>
    </row>
    <row r="17" spans="1:16" ht="11.25" customHeight="1" x14ac:dyDescent="0.3">
      <c r="A17" s="49">
        <v>16</v>
      </c>
      <c r="B17" s="49" t="s">
        <v>375</v>
      </c>
      <c r="C17" s="49" t="s">
        <v>40</v>
      </c>
      <c r="D17" s="49" t="s">
        <v>66</v>
      </c>
      <c r="E17" s="49" t="s">
        <v>41</v>
      </c>
      <c r="F17" s="49" t="s">
        <v>86</v>
      </c>
      <c r="G17" s="49" t="s">
        <v>25</v>
      </c>
      <c r="H17" s="49" t="s">
        <v>25</v>
      </c>
      <c r="I17" s="49" t="s">
        <v>38</v>
      </c>
      <c r="J17" s="49" t="s">
        <v>491</v>
      </c>
      <c r="K17" s="49" t="s">
        <v>492</v>
      </c>
      <c r="L17" s="49" t="s">
        <v>67</v>
      </c>
      <c r="M17" s="49">
        <v>2021</v>
      </c>
      <c r="N17" s="49">
        <v>0</v>
      </c>
      <c r="O17" s="49">
        <v>169.46</v>
      </c>
      <c r="P17" s="49"/>
    </row>
    <row r="18" spans="1:16" ht="11.25" customHeight="1" x14ac:dyDescent="0.3">
      <c r="A18" s="49">
        <v>17</v>
      </c>
      <c r="B18" s="49" t="s">
        <v>375</v>
      </c>
      <c r="C18" s="49" t="s">
        <v>22</v>
      </c>
      <c r="D18" s="49" t="s">
        <v>83</v>
      </c>
      <c r="E18" s="49" t="s">
        <v>24</v>
      </c>
      <c r="F18" s="49" t="s">
        <v>29</v>
      </c>
      <c r="G18" s="49" t="s">
        <v>25</v>
      </c>
      <c r="H18" s="49" t="s">
        <v>25</v>
      </c>
      <c r="I18" s="49" t="s">
        <v>25</v>
      </c>
      <c r="J18" s="49" t="s">
        <v>491</v>
      </c>
      <c r="K18" s="49" t="s">
        <v>492</v>
      </c>
      <c r="L18" s="49" t="s">
        <v>67</v>
      </c>
      <c r="M18" s="49">
        <v>2021</v>
      </c>
      <c r="N18" s="49">
        <v>0</v>
      </c>
      <c r="O18" s="49">
        <v>70.61</v>
      </c>
      <c r="P18" s="49"/>
    </row>
    <row r="19" spans="1:16" ht="11.25" customHeight="1" x14ac:dyDescent="0.3">
      <c r="A19" s="49">
        <v>18</v>
      </c>
      <c r="B19" s="49" t="s">
        <v>375</v>
      </c>
      <c r="C19" s="49" t="s">
        <v>22</v>
      </c>
      <c r="D19" s="49" t="s">
        <v>83</v>
      </c>
      <c r="E19" s="49" t="s">
        <v>24</v>
      </c>
      <c r="F19" s="49" t="s">
        <v>30</v>
      </c>
      <c r="G19" s="49" t="s">
        <v>25</v>
      </c>
      <c r="H19" s="49" t="s">
        <v>25</v>
      </c>
      <c r="I19" s="49" t="s">
        <v>25</v>
      </c>
      <c r="J19" s="49" t="s">
        <v>491</v>
      </c>
      <c r="K19" s="49" t="s">
        <v>492</v>
      </c>
      <c r="L19" s="49" t="s">
        <v>67</v>
      </c>
      <c r="M19" s="49">
        <v>2021</v>
      </c>
      <c r="N19" s="49">
        <v>0</v>
      </c>
      <c r="O19" s="49">
        <v>121.04</v>
      </c>
      <c r="P19" s="49"/>
    </row>
    <row r="20" spans="1:16" ht="11.25" customHeight="1" x14ac:dyDescent="0.3">
      <c r="A20" s="49">
        <v>19</v>
      </c>
      <c r="B20" s="49" t="s">
        <v>375</v>
      </c>
      <c r="C20" s="49" t="s">
        <v>22</v>
      </c>
      <c r="D20" s="49" t="s">
        <v>83</v>
      </c>
      <c r="E20" s="49" t="s">
        <v>24</v>
      </c>
      <c r="F20" s="49" t="s">
        <v>31</v>
      </c>
      <c r="G20" s="49" t="s">
        <v>25</v>
      </c>
      <c r="H20" s="49" t="s">
        <v>25</v>
      </c>
      <c r="I20" s="49" t="s">
        <v>25</v>
      </c>
      <c r="J20" s="49" t="s">
        <v>491</v>
      </c>
      <c r="K20" s="49" t="s">
        <v>492</v>
      </c>
      <c r="L20" s="49" t="s">
        <v>67</v>
      </c>
      <c r="M20" s="49">
        <v>2021</v>
      </c>
      <c r="N20" s="49">
        <v>0</v>
      </c>
      <c r="O20" s="49">
        <v>181.56</v>
      </c>
      <c r="P20" s="49"/>
    </row>
    <row r="21" spans="1:16" ht="11.25" customHeight="1" x14ac:dyDescent="0.3">
      <c r="A21" s="49">
        <v>20</v>
      </c>
      <c r="B21" s="49" t="s">
        <v>375</v>
      </c>
      <c r="C21" s="49" t="s">
        <v>22</v>
      </c>
      <c r="D21" s="49" t="s">
        <v>83</v>
      </c>
      <c r="E21" s="49" t="s">
        <v>24</v>
      </c>
      <c r="F21" s="49" t="s">
        <v>32</v>
      </c>
      <c r="G21" s="49" t="s">
        <v>25</v>
      </c>
      <c r="H21" s="49" t="s">
        <v>25</v>
      </c>
      <c r="I21" s="49" t="s">
        <v>25</v>
      </c>
      <c r="J21" s="49" t="s">
        <v>491</v>
      </c>
      <c r="K21" s="49" t="s">
        <v>492</v>
      </c>
      <c r="L21" s="49" t="s">
        <v>67</v>
      </c>
      <c r="M21" s="49">
        <v>2021</v>
      </c>
      <c r="N21" s="49">
        <v>0</v>
      </c>
      <c r="O21" s="49">
        <v>201.73</v>
      </c>
      <c r="P21" s="49"/>
    </row>
    <row r="22" spans="1:16" ht="11.25" customHeight="1" x14ac:dyDescent="0.3">
      <c r="A22" s="49">
        <v>21</v>
      </c>
      <c r="B22" s="49" t="s">
        <v>375</v>
      </c>
      <c r="C22" s="49" t="s">
        <v>40</v>
      </c>
      <c r="D22" s="49" t="s">
        <v>81</v>
      </c>
      <c r="E22" s="49" t="s">
        <v>41</v>
      </c>
      <c r="F22" s="49" t="s">
        <v>25</v>
      </c>
      <c r="G22" s="49" t="s">
        <v>25</v>
      </c>
      <c r="H22" s="49" t="s">
        <v>25</v>
      </c>
      <c r="I22" s="49" t="s">
        <v>25</v>
      </c>
      <c r="J22" s="49" t="s">
        <v>491</v>
      </c>
      <c r="K22" s="49" t="s">
        <v>492</v>
      </c>
      <c r="L22" s="49" t="s">
        <v>67</v>
      </c>
      <c r="M22" s="49">
        <v>2021</v>
      </c>
      <c r="N22" s="49">
        <v>0</v>
      </c>
      <c r="O22" s="49">
        <v>177.53</v>
      </c>
      <c r="P22" s="49"/>
    </row>
    <row r="23" spans="1:16" ht="11.25" customHeight="1" x14ac:dyDescent="0.3">
      <c r="A23" s="49">
        <v>22</v>
      </c>
      <c r="B23" s="49" t="s">
        <v>375</v>
      </c>
      <c r="C23" s="49" t="s">
        <v>40</v>
      </c>
      <c r="D23" s="49" t="s">
        <v>66</v>
      </c>
      <c r="E23" s="49" t="s">
        <v>41</v>
      </c>
      <c r="F23" s="49" t="s">
        <v>85</v>
      </c>
      <c r="G23" s="49" t="s">
        <v>25</v>
      </c>
      <c r="H23" s="49" t="s">
        <v>25</v>
      </c>
      <c r="I23" s="49" t="s">
        <v>38</v>
      </c>
      <c r="J23" s="49" t="s">
        <v>491</v>
      </c>
      <c r="K23" s="49" t="s">
        <v>492</v>
      </c>
      <c r="L23" s="49" t="s">
        <v>67</v>
      </c>
      <c r="M23" s="49">
        <v>2021</v>
      </c>
      <c r="N23" s="49">
        <v>0</v>
      </c>
      <c r="O23" s="49">
        <v>177.53</v>
      </c>
      <c r="P23" s="49"/>
    </row>
    <row r="24" spans="1:16" ht="11.25" customHeight="1" x14ac:dyDescent="0.3">
      <c r="A24" s="49">
        <v>23</v>
      </c>
      <c r="B24" s="49" t="s">
        <v>375</v>
      </c>
      <c r="C24" s="49" t="s">
        <v>40</v>
      </c>
      <c r="D24" s="49" t="s">
        <v>66</v>
      </c>
      <c r="E24" s="49" t="s">
        <v>41</v>
      </c>
      <c r="F24" s="49" t="s">
        <v>85</v>
      </c>
      <c r="G24" s="49" t="s">
        <v>25</v>
      </c>
      <c r="H24" s="49" t="s">
        <v>25</v>
      </c>
      <c r="I24" s="49" t="s">
        <v>493</v>
      </c>
      <c r="J24" s="49" t="s">
        <v>491</v>
      </c>
      <c r="K24" s="49" t="s">
        <v>492</v>
      </c>
      <c r="L24" s="49" t="s">
        <v>67</v>
      </c>
      <c r="M24" s="49">
        <v>2021</v>
      </c>
      <c r="N24" s="49">
        <v>0</v>
      </c>
      <c r="O24" s="49">
        <v>177.53</v>
      </c>
      <c r="P24" s="49"/>
    </row>
    <row r="25" spans="1:16" ht="11.25" customHeight="1" x14ac:dyDescent="0.3">
      <c r="A25" s="49">
        <v>24</v>
      </c>
      <c r="B25" s="49" t="s">
        <v>375</v>
      </c>
      <c r="C25" s="49" t="s">
        <v>40</v>
      </c>
      <c r="D25" s="49" t="s">
        <v>66</v>
      </c>
      <c r="E25" s="49" t="s">
        <v>41</v>
      </c>
      <c r="F25" s="49" t="s">
        <v>25</v>
      </c>
      <c r="G25" s="49" t="s">
        <v>25</v>
      </c>
      <c r="H25" s="49" t="s">
        <v>25</v>
      </c>
      <c r="I25" s="49" t="s">
        <v>38</v>
      </c>
      <c r="J25" s="49" t="s">
        <v>491</v>
      </c>
      <c r="K25" s="49" t="s">
        <v>492</v>
      </c>
      <c r="L25" s="49" t="s">
        <v>67</v>
      </c>
      <c r="M25" s="49">
        <v>2021</v>
      </c>
      <c r="N25" s="49">
        <v>0</v>
      </c>
      <c r="O25" s="49">
        <v>177.53</v>
      </c>
      <c r="P25" s="49"/>
    </row>
    <row r="26" spans="1:16" ht="11.25" customHeight="1" x14ac:dyDescent="0.3">
      <c r="A26" s="49">
        <v>25</v>
      </c>
      <c r="B26" s="49" t="s">
        <v>375</v>
      </c>
      <c r="C26" s="49" t="s">
        <v>40</v>
      </c>
      <c r="D26" s="49" t="s">
        <v>66</v>
      </c>
      <c r="E26" s="49" t="s">
        <v>41</v>
      </c>
      <c r="F26" s="49" t="s">
        <v>25</v>
      </c>
      <c r="G26" s="49" t="s">
        <v>25</v>
      </c>
      <c r="H26" s="49" t="s">
        <v>25</v>
      </c>
      <c r="I26" s="49" t="s">
        <v>493</v>
      </c>
      <c r="J26" s="49" t="s">
        <v>491</v>
      </c>
      <c r="K26" s="49" t="s">
        <v>492</v>
      </c>
      <c r="L26" s="49" t="s">
        <v>67</v>
      </c>
      <c r="M26" s="49">
        <v>2021</v>
      </c>
      <c r="N26" s="49">
        <v>0</v>
      </c>
      <c r="O26" s="49">
        <v>177.53</v>
      </c>
      <c r="P26" s="49"/>
    </row>
    <row r="27" spans="1:16" ht="11.25" customHeight="1" x14ac:dyDescent="0.3">
      <c r="A27" s="49">
        <v>26</v>
      </c>
      <c r="B27" s="49" t="s">
        <v>375</v>
      </c>
      <c r="C27" s="49" t="s">
        <v>40</v>
      </c>
      <c r="D27" s="49" t="s">
        <v>66</v>
      </c>
      <c r="E27" s="49" t="s">
        <v>41</v>
      </c>
      <c r="F27" s="49" t="s">
        <v>25</v>
      </c>
      <c r="G27" s="49" t="s">
        <v>25</v>
      </c>
      <c r="H27" s="49" t="s">
        <v>25</v>
      </c>
      <c r="I27" s="49" t="s">
        <v>39</v>
      </c>
      <c r="J27" s="49" t="s">
        <v>491</v>
      </c>
      <c r="K27" s="49" t="s">
        <v>492</v>
      </c>
      <c r="L27" s="49" t="s">
        <v>67</v>
      </c>
      <c r="M27" s="49">
        <v>2021</v>
      </c>
      <c r="N27" s="49">
        <v>0</v>
      </c>
      <c r="O27" s="49">
        <v>177.53</v>
      </c>
      <c r="P27" s="49"/>
    </row>
    <row r="28" spans="1:16" ht="11.25" customHeight="1" x14ac:dyDescent="0.3">
      <c r="A28" s="49">
        <v>27</v>
      </c>
      <c r="B28" s="49" t="s">
        <v>375</v>
      </c>
      <c r="C28" s="49" t="s">
        <v>22</v>
      </c>
      <c r="D28" s="49" t="s">
        <v>81</v>
      </c>
      <c r="E28" s="49" t="s">
        <v>24</v>
      </c>
      <c r="F28" s="49" t="s">
        <v>31</v>
      </c>
      <c r="G28" s="49" t="s">
        <v>25</v>
      </c>
      <c r="H28" s="49" t="s">
        <v>25</v>
      </c>
      <c r="I28" s="49" t="s">
        <v>25</v>
      </c>
      <c r="J28" s="49" t="s">
        <v>491</v>
      </c>
      <c r="K28" s="49" t="s">
        <v>492</v>
      </c>
      <c r="L28" s="49" t="s">
        <v>67</v>
      </c>
      <c r="M28" s="49">
        <v>2021</v>
      </c>
      <c r="N28" s="49">
        <v>0</v>
      </c>
      <c r="O28" s="49">
        <v>181.56</v>
      </c>
      <c r="P28" s="49"/>
    </row>
    <row r="29" spans="1:16" ht="11.25" customHeight="1" x14ac:dyDescent="0.3">
      <c r="A29" s="49">
        <v>28</v>
      </c>
      <c r="B29" s="49" t="s">
        <v>375</v>
      </c>
      <c r="C29" s="49" t="s">
        <v>22</v>
      </c>
      <c r="D29" s="49" t="s">
        <v>81</v>
      </c>
      <c r="E29" s="49" t="s">
        <v>24</v>
      </c>
      <c r="F29" s="49" t="s">
        <v>32</v>
      </c>
      <c r="G29" s="49" t="s">
        <v>25</v>
      </c>
      <c r="H29" s="49" t="s">
        <v>25</v>
      </c>
      <c r="I29" s="49" t="s">
        <v>25</v>
      </c>
      <c r="J29" s="49" t="s">
        <v>491</v>
      </c>
      <c r="K29" s="49" t="s">
        <v>492</v>
      </c>
      <c r="L29" s="49" t="s">
        <v>67</v>
      </c>
      <c r="M29" s="49">
        <v>2021</v>
      </c>
      <c r="N29" s="49">
        <v>0</v>
      </c>
      <c r="O29" s="49">
        <v>201.73</v>
      </c>
      <c r="P29" s="49"/>
    </row>
    <row r="30" spans="1:16" ht="11.25" customHeight="1" x14ac:dyDescent="0.3">
      <c r="A30" s="49">
        <v>29</v>
      </c>
      <c r="B30" s="49" t="s">
        <v>375</v>
      </c>
      <c r="C30" s="49" t="s">
        <v>22</v>
      </c>
      <c r="D30" s="49" t="s">
        <v>83</v>
      </c>
      <c r="E30" s="49" t="s">
        <v>24</v>
      </c>
      <c r="F30" s="49" t="s">
        <v>24</v>
      </c>
      <c r="G30" s="49" t="s">
        <v>25</v>
      </c>
      <c r="H30" s="49" t="s">
        <v>25</v>
      </c>
      <c r="I30" s="49" t="s">
        <v>25</v>
      </c>
      <c r="J30" s="49" t="s">
        <v>491</v>
      </c>
      <c r="K30" s="49" t="s">
        <v>492</v>
      </c>
      <c r="L30" s="49" t="s">
        <v>67</v>
      </c>
      <c r="M30" s="49">
        <v>2021</v>
      </c>
      <c r="N30" s="49">
        <v>0</v>
      </c>
      <c r="O30" s="49">
        <v>201.73</v>
      </c>
      <c r="P30" s="49"/>
    </row>
    <row r="31" spans="1:16" ht="11.25" customHeight="1" x14ac:dyDescent="0.3">
      <c r="A31" s="49">
        <v>30</v>
      </c>
      <c r="B31" s="49" t="s">
        <v>375</v>
      </c>
      <c r="C31" s="49" t="s">
        <v>22</v>
      </c>
      <c r="D31" s="49" t="s">
        <v>66</v>
      </c>
      <c r="E31" s="49" t="s">
        <v>24</v>
      </c>
      <c r="F31" s="49" t="s">
        <v>24</v>
      </c>
      <c r="G31" s="49" t="s">
        <v>25</v>
      </c>
      <c r="H31" s="49" t="s">
        <v>25</v>
      </c>
      <c r="I31" s="49" t="s">
        <v>39</v>
      </c>
      <c r="J31" s="49" t="s">
        <v>491</v>
      </c>
      <c r="K31" s="49" t="s">
        <v>492</v>
      </c>
      <c r="L31" s="49" t="s">
        <v>67</v>
      </c>
      <c r="M31" s="49">
        <v>2021</v>
      </c>
      <c r="N31" s="49">
        <v>0</v>
      </c>
      <c r="O31" s="49">
        <v>201.73</v>
      </c>
      <c r="P31" s="49"/>
    </row>
    <row r="32" spans="1:16" ht="11.25" customHeight="1" x14ac:dyDescent="0.3">
      <c r="A32" s="49">
        <v>31</v>
      </c>
      <c r="B32" s="49" t="s">
        <v>375</v>
      </c>
      <c r="C32" s="49" t="s">
        <v>22</v>
      </c>
      <c r="D32" s="49" t="s">
        <v>81</v>
      </c>
      <c r="E32" s="49" t="s">
        <v>24</v>
      </c>
      <c r="F32" s="49" t="s">
        <v>24</v>
      </c>
      <c r="G32" s="49" t="s">
        <v>25</v>
      </c>
      <c r="H32" s="49" t="s">
        <v>25</v>
      </c>
      <c r="I32" s="49" t="s">
        <v>25</v>
      </c>
      <c r="J32" s="49" t="s">
        <v>491</v>
      </c>
      <c r="K32" s="49" t="s">
        <v>492</v>
      </c>
      <c r="L32" s="49" t="s">
        <v>67</v>
      </c>
      <c r="M32" s="49">
        <v>2021</v>
      </c>
      <c r="N32" s="49">
        <v>0</v>
      </c>
      <c r="O32" s="49">
        <v>201.73</v>
      </c>
      <c r="P32" s="49"/>
    </row>
    <row r="33" spans="1:16" ht="11.25" customHeight="1" x14ac:dyDescent="0.3">
      <c r="A33" s="49">
        <v>32</v>
      </c>
      <c r="B33" s="49" t="s">
        <v>375</v>
      </c>
      <c r="C33" s="49" t="s">
        <v>22</v>
      </c>
      <c r="D33" s="49" t="s">
        <v>81</v>
      </c>
      <c r="E33" s="49" t="s">
        <v>24</v>
      </c>
      <c r="F33" s="49" t="s">
        <v>29</v>
      </c>
      <c r="G33" s="49" t="s">
        <v>25</v>
      </c>
      <c r="H33" s="49" t="s">
        <v>25</v>
      </c>
      <c r="I33" s="49" t="s">
        <v>25</v>
      </c>
      <c r="J33" s="49" t="s">
        <v>491</v>
      </c>
      <c r="K33" s="49" t="s">
        <v>492</v>
      </c>
      <c r="L33" s="49" t="s">
        <v>67</v>
      </c>
      <c r="M33" s="49">
        <v>2021</v>
      </c>
      <c r="N33" s="49">
        <v>0</v>
      </c>
      <c r="O33" s="49">
        <v>70.61</v>
      </c>
      <c r="P33" s="49"/>
    </row>
    <row r="34" spans="1:16" ht="11.25" customHeight="1" x14ac:dyDescent="0.3">
      <c r="A34" s="49">
        <v>33</v>
      </c>
      <c r="B34" s="49" t="s">
        <v>375</v>
      </c>
      <c r="C34" s="49" t="s">
        <v>22</v>
      </c>
      <c r="D34" s="49" t="s">
        <v>81</v>
      </c>
      <c r="E34" s="49" t="s">
        <v>24</v>
      </c>
      <c r="F34" s="49" t="s">
        <v>30</v>
      </c>
      <c r="G34" s="49" t="s">
        <v>25</v>
      </c>
      <c r="H34" s="49" t="s">
        <v>25</v>
      </c>
      <c r="I34" s="49" t="s">
        <v>25</v>
      </c>
      <c r="J34" s="49" t="s">
        <v>491</v>
      </c>
      <c r="K34" s="49" t="s">
        <v>492</v>
      </c>
      <c r="L34" s="49" t="s">
        <v>67</v>
      </c>
      <c r="M34" s="49">
        <v>2021</v>
      </c>
      <c r="N34" s="49">
        <v>0</v>
      </c>
      <c r="O34" s="49">
        <v>121.04</v>
      </c>
      <c r="P34" s="49"/>
    </row>
    <row r="35" spans="1:16" ht="11.25" customHeight="1" x14ac:dyDescent="0.3">
      <c r="A35" s="49">
        <v>34</v>
      </c>
      <c r="B35" s="49" t="s">
        <v>375</v>
      </c>
      <c r="C35" s="49" t="s">
        <v>36</v>
      </c>
      <c r="D35" s="49" t="s">
        <v>66</v>
      </c>
      <c r="E35" s="49" t="s">
        <v>25</v>
      </c>
      <c r="F35" s="49" t="s">
        <v>25</v>
      </c>
      <c r="G35" s="49" t="s">
        <v>25</v>
      </c>
      <c r="H35" s="49" t="s">
        <v>25</v>
      </c>
      <c r="I35" s="49" t="s">
        <v>39</v>
      </c>
      <c r="J35" s="49" t="s">
        <v>491</v>
      </c>
      <c r="K35" s="49" t="s">
        <v>492</v>
      </c>
      <c r="L35" s="49" t="s">
        <v>67</v>
      </c>
      <c r="M35" s="49">
        <v>2021</v>
      </c>
      <c r="N35" s="49">
        <v>0</v>
      </c>
      <c r="O35" s="49">
        <v>201.73</v>
      </c>
      <c r="P35" s="49"/>
    </row>
    <row r="36" spans="1:16" ht="11.25" customHeight="1" x14ac:dyDescent="0.3">
      <c r="A36" s="49">
        <v>35</v>
      </c>
      <c r="B36" s="49" t="s">
        <v>375</v>
      </c>
      <c r="C36" s="49" t="s">
        <v>22</v>
      </c>
      <c r="D36" s="49" t="s">
        <v>66</v>
      </c>
      <c r="E36" s="49" t="s">
        <v>24</v>
      </c>
      <c r="F36" s="49" t="s">
        <v>24</v>
      </c>
      <c r="G36" s="49" t="s">
        <v>25</v>
      </c>
      <c r="H36" s="49" t="s">
        <v>25</v>
      </c>
      <c r="I36" s="49" t="s">
        <v>38</v>
      </c>
      <c r="J36" s="49" t="s">
        <v>491</v>
      </c>
      <c r="K36" s="49" t="s">
        <v>492</v>
      </c>
      <c r="L36" s="49" t="s">
        <v>67</v>
      </c>
      <c r="M36" s="49">
        <v>2021</v>
      </c>
      <c r="N36" s="49">
        <v>0</v>
      </c>
      <c r="O36" s="49">
        <v>201.73</v>
      </c>
      <c r="P36" s="49"/>
    </row>
    <row r="37" spans="1:16" ht="11.25" customHeight="1" x14ac:dyDescent="0.3">
      <c r="A37" s="49">
        <v>36</v>
      </c>
      <c r="B37" s="49" t="s">
        <v>375</v>
      </c>
      <c r="C37" s="49" t="s">
        <v>22</v>
      </c>
      <c r="D37" s="49" t="s">
        <v>66</v>
      </c>
      <c r="E37" s="49" t="s">
        <v>24</v>
      </c>
      <c r="F37" s="49" t="s">
        <v>24</v>
      </c>
      <c r="G37" s="49" t="s">
        <v>25</v>
      </c>
      <c r="H37" s="49" t="s">
        <v>25</v>
      </c>
      <c r="I37" s="49" t="s">
        <v>493</v>
      </c>
      <c r="J37" s="49" t="s">
        <v>491</v>
      </c>
      <c r="K37" s="49" t="s">
        <v>492</v>
      </c>
      <c r="L37" s="49" t="s">
        <v>67</v>
      </c>
      <c r="M37" s="49">
        <v>2021</v>
      </c>
      <c r="N37" s="49">
        <v>0</v>
      </c>
      <c r="O37" s="49">
        <v>201.73</v>
      </c>
      <c r="P37" s="49"/>
    </row>
    <row r="38" spans="1:16" ht="11.25" customHeight="1" x14ac:dyDescent="0.3">
      <c r="A38" s="49">
        <v>37</v>
      </c>
      <c r="B38" s="49" t="s">
        <v>347</v>
      </c>
      <c r="C38" s="49" t="s">
        <v>36</v>
      </c>
      <c r="D38" s="49" t="s">
        <v>37</v>
      </c>
      <c r="E38" s="49" t="s">
        <v>25</v>
      </c>
      <c r="F38" s="49" t="s">
        <v>25</v>
      </c>
      <c r="G38" s="49" t="s">
        <v>75</v>
      </c>
      <c r="H38" s="49" t="s">
        <v>25</v>
      </c>
      <c r="I38" s="49" t="s">
        <v>38</v>
      </c>
      <c r="J38" s="49" t="s">
        <v>491</v>
      </c>
      <c r="K38" s="49" t="s">
        <v>492</v>
      </c>
      <c r="L38" s="49" t="s">
        <v>67</v>
      </c>
      <c r="M38" s="49">
        <v>2021</v>
      </c>
      <c r="N38" s="49">
        <v>0</v>
      </c>
      <c r="O38" s="49">
        <v>3602.4</v>
      </c>
      <c r="P38" s="49">
        <v>0</v>
      </c>
    </row>
    <row r="39" spans="1:16" ht="11.25" customHeight="1" x14ac:dyDescent="0.3">
      <c r="A39" s="49">
        <v>38</v>
      </c>
      <c r="B39" s="49" t="s">
        <v>347</v>
      </c>
      <c r="C39" s="49" t="s">
        <v>36</v>
      </c>
      <c r="D39" s="49" t="s">
        <v>37</v>
      </c>
      <c r="E39" s="49" t="s">
        <v>25</v>
      </c>
      <c r="F39" s="49" t="s">
        <v>25</v>
      </c>
      <c r="G39" s="49" t="s">
        <v>75</v>
      </c>
      <c r="H39" s="49" t="s">
        <v>25</v>
      </c>
      <c r="I39" s="49" t="s">
        <v>39</v>
      </c>
      <c r="J39" s="49" t="s">
        <v>491</v>
      </c>
      <c r="K39" s="49" t="s">
        <v>492</v>
      </c>
      <c r="L39" s="49" t="s">
        <v>67</v>
      </c>
      <c r="M39" s="49">
        <v>2021</v>
      </c>
      <c r="N39" s="49">
        <v>0</v>
      </c>
      <c r="O39" s="49">
        <v>14.35</v>
      </c>
      <c r="P39" s="49">
        <v>0</v>
      </c>
    </row>
    <row r="40" spans="1:16" ht="11.25" customHeight="1" x14ac:dyDescent="0.3">
      <c r="A40" s="49">
        <v>39</v>
      </c>
      <c r="B40" s="49" t="s">
        <v>347</v>
      </c>
      <c r="C40" s="49" t="s">
        <v>77</v>
      </c>
      <c r="D40" s="49" t="s">
        <v>76</v>
      </c>
      <c r="E40" s="49" t="s">
        <v>25</v>
      </c>
      <c r="F40" s="49" t="s">
        <v>25</v>
      </c>
      <c r="G40" s="49" t="s">
        <v>78</v>
      </c>
      <c r="H40" s="49" t="s">
        <v>25</v>
      </c>
      <c r="I40" s="49" t="s">
        <v>25</v>
      </c>
      <c r="J40" s="49" t="s">
        <v>494</v>
      </c>
      <c r="K40" s="49" t="s">
        <v>492</v>
      </c>
      <c r="L40" s="49" t="s">
        <v>71</v>
      </c>
      <c r="M40" s="49">
        <v>2021</v>
      </c>
      <c r="N40" s="49">
        <v>0</v>
      </c>
      <c r="O40" s="49">
        <v>3.26</v>
      </c>
      <c r="P40" s="49">
        <v>0</v>
      </c>
    </row>
    <row r="41" spans="1:16" ht="11.25" customHeight="1" x14ac:dyDescent="0.3">
      <c r="A41" s="49">
        <v>40</v>
      </c>
      <c r="B41" s="49" t="s">
        <v>347</v>
      </c>
      <c r="C41" s="49" t="s">
        <v>22</v>
      </c>
      <c r="D41" s="49" t="s">
        <v>23</v>
      </c>
      <c r="E41" s="49" t="s">
        <v>24</v>
      </c>
      <c r="F41" s="49" t="s">
        <v>31</v>
      </c>
      <c r="G41" s="49" t="s">
        <v>25</v>
      </c>
      <c r="H41" s="49" t="s">
        <v>25</v>
      </c>
      <c r="I41" s="49" t="s">
        <v>25</v>
      </c>
      <c r="J41" s="49" t="s">
        <v>491</v>
      </c>
      <c r="K41" s="49" t="s">
        <v>492</v>
      </c>
      <c r="L41" s="49" t="s">
        <v>67</v>
      </c>
      <c r="M41" s="49">
        <v>2021</v>
      </c>
      <c r="N41" s="49">
        <v>0</v>
      </c>
      <c r="O41" s="49">
        <v>630.02</v>
      </c>
      <c r="P41" s="49">
        <v>0</v>
      </c>
    </row>
    <row r="42" spans="1:16" ht="11.25" customHeight="1" x14ac:dyDescent="0.3">
      <c r="A42" s="49">
        <v>41</v>
      </c>
      <c r="B42" s="49" t="s">
        <v>347</v>
      </c>
      <c r="C42" s="49" t="s">
        <v>22</v>
      </c>
      <c r="D42" s="49" t="s">
        <v>23</v>
      </c>
      <c r="E42" s="49" t="s">
        <v>24</v>
      </c>
      <c r="F42" s="49" t="s">
        <v>32</v>
      </c>
      <c r="G42" s="49" t="s">
        <v>25</v>
      </c>
      <c r="H42" s="49" t="s">
        <v>25</v>
      </c>
      <c r="I42" s="49" t="s">
        <v>25</v>
      </c>
      <c r="J42" s="49" t="s">
        <v>491</v>
      </c>
      <c r="K42" s="49" t="s">
        <v>492</v>
      </c>
      <c r="L42" s="49" t="s">
        <v>67</v>
      </c>
      <c r="M42" s="49">
        <v>2021</v>
      </c>
      <c r="N42" s="49">
        <v>0</v>
      </c>
      <c r="O42" s="49">
        <v>700.03</v>
      </c>
      <c r="P42" s="49">
        <v>0</v>
      </c>
    </row>
    <row r="43" spans="1:16" ht="11.25" customHeight="1" x14ac:dyDescent="0.3">
      <c r="A43" s="49">
        <v>42</v>
      </c>
      <c r="B43" s="49" t="s">
        <v>347</v>
      </c>
      <c r="C43" s="49" t="s">
        <v>22</v>
      </c>
      <c r="D43" s="49" t="s">
        <v>84</v>
      </c>
      <c r="E43" s="49" t="s">
        <v>24</v>
      </c>
      <c r="F43" s="49" t="s">
        <v>24</v>
      </c>
      <c r="G43" s="49" t="s">
        <v>25</v>
      </c>
      <c r="H43" s="49" t="s">
        <v>25</v>
      </c>
      <c r="I43" s="49" t="s">
        <v>25</v>
      </c>
      <c r="J43" s="49" t="s">
        <v>491</v>
      </c>
      <c r="K43" s="49" t="s">
        <v>492</v>
      </c>
      <c r="L43" s="49" t="s">
        <v>67</v>
      </c>
      <c r="M43" s="49">
        <v>2021</v>
      </c>
      <c r="N43" s="49">
        <v>0</v>
      </c>
      <c r="O43" s="49">
        <v>823.74</v>
      </c>
      <c r="P43" s="49">
        <v>112.044183278074</v>
      </c>
    </row>
    <row r="44" spans="1:16" ht="11.25" customHeight="1" x14ac:dyDescent="0.3">
      <c r="A44" s="49">
        <v>43</v>
      </c>
      <c r="B44" s="49" t="s">
        <v>347</v>
      </c>
      <c r="C44" s="49" t="s">
        <v>22</v>
      </c>
      <c r="D44" s="49" t="s">
        <v>84</v>
      </c>
      <c r="E44" s="49" t="s">
        <v>24</v>
      </c>
      <c r="F44" s="49" t="s">
        <v>29</v>
      </c>
      <c r="G44" s="49" t="s">
        <v>25</v>
      </c>
      <c r="H44" s="49" t="s">
        <v>25</v>
      </c>
      <c r="I44" s="49" t="s">
        <v>25</v>
      </c>
      <c r="J44" s="49" t="s">
        <v>491</v>
      </c>
      <c r="K44" s="49" t="s">
        <v>492</v>
      </c>
      <c r="L44" s="49" t="s">
        <v>67</v>
      </c>
      <c r="M44" s="49">
        <v>2021</v>
      </c>
      <c r="N44" s="49">
        <v>0</v>
      </c>
      <c r="O44" s="49">
        <v>245.01</v>
      </c>
      <c r="P44" s="49">
        <v>0</v>
      </c>
    </row>
    <row r="45" spans="1:16" ht="11.25" customHeight="1" x14ac:dyDescent="0.3">
      <c r="A45" s="49">
        <v>44</v>
      </c>
      <c r="B45" s="49" t="s">
        <v>347</v>
      </c>
      <c r="C45" s="49" t="s">
        <v>22</v>
      </c>
      <c r="D45" s="49" t="s">
        <v>23</v>
      </c>
      <c r="E45" s="49" t="s">
        <v>24</v>
      </c>
      <c r="F45" s="49" t="s">
        <v>29</v>
      </c>
      <c r="G45" s="49" t="s">
        <v>25</v>
      </c>
      <c r="H45" s="49" t="s">
        <v>25</v>
      </c>
      <c r="I45" s="49" t="s">
        <v>25</v>
      </c>
      <c r="J45" s="49" t="s">
        <v>491</v>
      </c>
      <c r="K45" s="49" t="s">
        <v>492</v>
      </c>
      <c r="L45" s="49" t="s">
        <v>67</v>
      </c>
      <c r="M45" s="49">
        <v>2021</v>
      </c>
      <c r="N45" s="49">
        <v>0</v>
      </c>
      <c r="O45" s="49">
        <v>245.01</v>
      </c>
      <c r="P45" s="49">
        <v>0</v>
      </c>
    </row>
    <row r="46" spans="1:16" ht="11.25" customHeight="1" x14ac:dyDescent="0.3">
      <c r="A46" s="49">
        <v>45</v>
      </c>
      <c r="B46" s="49" t="s">
        <v>347</v>
      </c>
      <c r="C46" s="49" t="s">
        <v>22</v>
      </c>
      <c r="D46" s="49" t="s">
        <v>23</v>
      </c>
      <c r="E46" s="49" t="s">
        <v>24</v>
      </c>
      <c r="F46" s="49" t="s">
        <v>30</v>
      </c>
      <c r="G46" s="49" t="s">
        <v>25</v>
      </c>
      <c r="H46" s="49" t="s">
        <v>25</v>
      </c>
      <c r="I46" s="49" t="s">
        <v>25</v>
      </c>
      <c r="J46" s="49" t="s">
        <v>491</v>
      </c>
      <c r="K46" s="49" t="s">
        <v>492</v>
      </c>
      <c r="L46" s="49" t="s">
        <v>67</v>
      </c>
      <c r="M46" s="49">
        <v>2021</v>
      </c>
      <c r="N46" s="49">
        <v>0</v>
      </c>
      <c r="O46" s="49">
        <v>420.02</v>
      </c>
      <c r="P46" s="49">
        <v>0</v>
      </c>
    </row>
    <row r="47" spans="1:16" ht="11.25" customHeight="1" x14ac:dyDescent="0.3">
      <c r="A47" s="49">
        <v>46</v>
      </c>
      <c r="B47" s="49" t="s">
        <v>347</v>
      </c>
      <c r="C47" s="49" t="s">
        <v>22</v>
      </c>
      <c r="D47" s="49" t="s">
        <v>82</v>
      </c>
      <c r="E47" s="49" t="s">
        <v>24</v>
      </c>
      <c r="F47" s="49" t="s">
        <v>24</v>
      </c>
      <c r="G47" s="49" t="s">
        <v>25</v>
      </c>
      <c r="H47" s="49" t="s">
        <v>25</v>
      </c>
      <c r="I47" s="49" t="s">
        <v>493</v>
      </c>
      <c r="J47" s="49" t="s">
        <v>491</v>
      </c>
      <c r="K47" s="49" t="s">
        <v>492</v>
      </c>
      <c r="L47" s="49" t="s">
        <v>67</v>
      </c>
      <c r="M47" s="49">
        <v>2021</v>
      </c>
      <c r="N47" s="49">
        <v>0</v>
      </c>
      <c r="O47" s="49">
        <v>1320.17</v>
      </c>
      <c r="P47" s="49">
        <v>112.044183278074</v>
      </c>
    </row>
    <row r="48" spans="1:16" ht="11.25" customHeight="1" x14ac:dyDescent="0.3">
      <c r="A48" s="49">
        <v>47</v>
      </c>
      <c r="B48" s="49" t="s">
        <v>347</v>
      </c>
      <c r="C48" s="49" t="s">
        <v>22</v>
      </c>
      <c r="D48" s="49" t="s">
        <v>82</v>
      </c>
      <c r="E48" s="49" t="s">
        <v>24</v>
      </c>
      <c r="F48" s="49" t="s">
        <v>24</v>
      </c>
      <c r="G48" s="49" t="s">
        <v>25</v>
      </c>
      <c r="H48" s="49" t="s">
        <v>25</v>
      </c>
      <c r="I48" s="49" t="s">
        <v>39</v>
      </c>
      <c r="J48" s="49" t="s">
        <v>491</v>
      </c>
      <c r="K48" s="49" t="s">
        <v>492</v>
      </c>
      <c r="L48" s="49" t="s">
        <v>67</v>
      </c>
      <c r="M48" s="49">
        <v>2021</v>
      </c>
      <c r="N48" s="49">
        <v>0</v>
      </c>
      <c r="O48" s="49">
        <v>541.98</v>
      </c>
      <c r="P48" s="49">
        <v>112.044183278074</v>
      </c>
    </row>
    <row r="49" spans="1:16" ht="11.25" customHeight="1" x14ac:dyDescent="0.3">
      <c r="A49" s="49">
        <v>48</v>
      </c>
      <c r="B49" s="49" t="s">
        <v>347</v>
      </c>
      <c r="C49" s="49" t="s">
        <v>22</v>
      </c>
      <c r="D49" s="49" t="s">
        <v>23</v>
      </c>
      <c r="E49" s="49" t="s">
        <v>24</v>
      </c>
      <c r="F49" s="49" t="s">
        <v>24</v>
      </c>
      <c r="G49" s="49" t="s">
        <v>25</v>
      </c>
      <c r="H49" s="49" t="s">
        <v>25</v>
      </c>
      <c r="I49" s="49" t="s">
        <v>25</v>
      </c>
      <c r="J49" s="49" t="s">
        <v>491</v>
      </c>
      <c r="K49" s="49" t="s">
        <v>492</v>
      </c>
      <c r="L49" s="49" t="s">
        <v>67</v>
      </c>
      <c r="M49" s="49">
        <v>2021</v>
      </c>
      <c r="N49" s="49">
        <v>0</v>
      </c>
      <c r="O49" s="49">
        <v>823.74</v>
      </c>
      <c r="P49" s="49">
        <v>112.044183278074</v>
      </c>
    </row>
    <row r="50" spans="1:16" ht="11.25" customHeight="1" x14ac:dyDescent="0.3">
      <c r="A50" s="49">
        <v>49</v>
      </c>
      <c r="B50" s="49" t="s">
        <v>347</v>
      </c>
      <c r="C50" s="49" t="s">
        <v>77</v>
      </c>
      <c r="D50" s="49" t="s">
        <v>76</v>
      </c>
      <c r="E50" s="49" t="s">
        <v>25</v>
      </c>
      <c r="F50" s="49" t="s">
        <v>25</v>
      </c>
      <c r="G50" s="49" t="s">
        <v>79</v>
      </c>
      <c r="H50" s="49" t="s">
        <v>25</v>
      </c>
      <c r="I50" s="49" t="s">
        <v>25</v>
      </c>
      <c r="J50" s="49" t="s">
        <v>494</v>
      </c>
      <c r="K50" s="49" t="s">
        <v>492</v>
      </c>
      <c r="L50" s="49" t="s">
        <v>71</v>
      </c>
      <c r="M50" s="49">
        <v>2021</v>
      </c>
      <c r="N50" s="49">
        <v>0</v>
      </c>
      <c r="O50" s="49">
        <v>10.48</v>
      </c>
      <c r="P50" s="49">
        <v>0</v>
      </c>
    </row>
    <row r="51" spans="1:16" ht="11.25" customHeight="1" x14ac:dyDescent="0.3">
      <c r="A51" s="49">
        <v>50</v>
      </c>
      <c r="B51" s="49" t="s">
        <v>347</v>
      </c>
      <c r="C51" s="49" t="s">
        <v>22</v>
      </c>
      <c r="D51" s="49" t="s">
        <v>82</v>
      </c>
      <c r="E51" s="49" t="s">
        <v>24</v>
      </c>
      <c r="F51" s="49" t="s">
        <v>24</v>
      </c>
      <c r="G51" s="49" t="s">
        <v>25</v>
      </c>
      <c r="H51" s="49" t="s">
        <v>25</v>
      </c>
      <c r="I51" s="49" t="s">
        <v>38</v>
      </c>
      <c r="J51" s="49" t="s">
        <v>491</v>
      </c>
      <c r="K51" s="49" t="s">
        <v>492</v>
      </c>
      <c r="L51" s="49" t="s">
        <v>67</v>
      </c>
      <c r="M51" s="49">
        <v>2021</v>
      </c>
      <c r="N51" s="49">
        <v>0</v>
      </c>
      <c r="O51" s="49">
        <v>2098.36</v>
      </c>
      <c r="P51" s="49">
        <v>112.044183278074</v>
      </c>
    </row>
    <row r="52" spans="1:16" ht="11.25" customHeight="1" x14ac:dyDescent="0.3">
      <c r="A52" s="49">
        <v>51</v>
      </c>
      <c r="B52" s="49" t="s">
        <v>347</v>
      </c>
      <c r="C52" s="49" t="s">
        <v>43</v>
      </c>
      <c r="D52" s="49" t="s">
        <v>23</v>
      </c>
      <c r="E52" s="49" t="s">
        <v>44</v>
      </c>
      <c r="F52" s="49" t="s">
        <v>45</v>
      </c>
      <c r="G52" s="49" t="s">
        <v>25</v>
      </c>
      <c r="H52" s="49" t="s">
        <v>25</v>
      </c>
      <c r="I52" s="49" t="s">
        <v>25</v>
      </c>
      <c r="J52" s="49" t="s">
        <v>491</v>
      </c>
      <c r="K52" s="49" t="s">
        <v>492</v>
      </c>
      <c r="L52" s="49" t="s">
        <v>67</v>
      </c>
      <c r="M52" s="49">
        <v>2021</v>
      </c>
      <c r="N52" s="49">
        <v>0</v>
      </c>
      <c r="O52" s="49">
        <v>436.58</v>
      </c>
      <c r="P52" s="49">
        <v>59.383417137378999</v>
      </c>
    </row>
    <row r="53" spans="1:16" ht="11.25" customHeight="1" x14ac:dyDescent="0.3">
      <c r="A53" s="49">
        <v>52</v>
      </c>
      <c r="B53" s="49" t="s">
        <v>347</v>
      </c>
      <c r="C53" s="49" t="s">
        <v>43</v>
      </c>
      <c r="D53" s="49" t="s">
        <v>23</v>
      </c>
      <c r="E53" s="49" t="s">
        <v>44</v>
      </c>
      <c r="F53" s="49" t="s">
        <v>87</v>
      </c>
      <c r="G53" s="49" t="s">
        <v>25</v>
      </c>
      <c r="H53" s="49" t="s">
        <v>25</v>
      </c>
      <c r="I53" s="49" t="s">
        <v>25</v>
      </c>
      <c r="J53" s="49" t="s">
        <v>491</v>
      </c>
      <c r="K53" s="49" t="s">
        <v>492</v>
      </c>
      <c r="L53" s="49" t="s">
        <v>67</v>
      </c>
      <c r="M53" s="49">
        <v>2021</v>
      </c>
      <c r="N53" s="49">
        <v>0</v>
      </c>
      <c r="O53" s="49">
        <v>477.77</v>
      </c>
      <c r="P53" s="49">
        <v>64.985626301282693</v>
      </c>
    </row>
    <row r="54" spans="1:16" ht="11.25" customHeight="1" x14ac:dyDescent="0.3">
      <c r="A54" s="49">
        <v>53</v>
      </c>
      <c r="B54" s="49" t="s">
        <v>375</v>
      </c>
      <c r="C54" s="49" t="s">
        <v>36</v>
      </c>
      <c r="D54" s="49" t="s">
        <v>66</v>
      </c>
      <c r="E54" s="49" t="s">
        <v>25</v>
      </c>
      <c r="F54" s="49" t="s">
        <v>25</v>
      </c>
      <c r="G54" s="49" t="s">
        <v>25</v>
      </c>
      <c r="H54" s="49" t="s">
        <v>25</v>
      </c>
      <c r="I54" s="49" t="s">
        <v>38</v>
      </c>
      <c r="J54" s="49" t="s">
        <v>491</v>
      </c>
      <c r="K54" s="49" t="s">
        <v>492</v>
      </c>
      <c r="L54" s="49" t="s">
        <v>67</v>
      </c>
      <c r="M54" s="49">
        <v>2021</v>
      </c>
      <c r="N54" s="49">
        <v>0</v>
      </c>
      <c r="O54" s="49">
        <v>201.73</v>
      </c>
      <c r="P54" s="49"/>
    </row>
    <row r="55" spans="1:16" ht="11.25" customHeight="1" x14ac:dyDescent="0.3">
      <c r="A55" s="49">
        <v>54</v>
      </c>
      <c r="B55" s="49" t="s">
        <v>347</v>
      </c>
      <c r="C55" s="49" t="s">
        <v>33</v>
      </c>
      <c r="D55" s="49" t="s">
        <v>82</v>
      </c>
      <c r="E55" s="49" t="s">
        <v>25</v>
      </c>
      <c r="F55" s="49" t="s">
        <v>25</v>
      </c>
      <c r="G55" s="49" t="s">
        <v>25</v>
      </c>
      <c r="H55" s="49" t="s">
        <v>25</v>
      </c>
      <c r="I55" s="49" t="s">
        <v>39</v>
      </c>
      <c r="J55" s="49" t="s">
        <v>491</v>
      </c>
      <c r="K55" s="49" t="s">
        <v>492</v>
      </c>
      <c r="L55" s="49" t="s">
        <v>67</v>
      </c>
      <c r="M55" s="49">
        <v>2021</v>
      </c>
      <c r="N55" s="49">
        <v>0</v>
      </c>
      <c r="O55" s="49">
        <v>609.07000000000005</v>
      </c>
      <c r="P55" s="49">
        <v>112.044183278074</v>
      </c>
    </row>
    <row r="56" spans="1:16" ht="11.25" customHeight="1" x14ac:dyDescent="0.3">
      <c r="A56" s="49">
        <v>55</v>
      </c>
      <c r="B56" s="49" t="s">
        <v>347</v>
      </c>
      <c r="C56" s="49" t="s">
        <v>33</v>
      </c>
      <c r="D56" s="49" t="s">
        <v>23</v>
      </c>
      <c r="E56" s="49" t="s">
        <v>25</v>
      </c>
      <c r="F56" s="49" t="s">
        <v>25</v>
      </c>
      <c r="G56" s="49" t="s">
        <v>25</v>
      </c>
      <c r="H56" s="49" t="s">
        <v>25</v>
      </c>
      <c r="I56" s="49" t="s">
        <v>25</v>
      </c>
      <c r="J56" s="49" t="s">
        <v>491</v>
      </c>
      <c r="K56" s="49" t="s">
        <v>492</v>
      </c>
      <c r="L56" s="49" t="s">
        <v>67</v>
      </c>
      <c r="M56" s="49">
        <v>2021</v>
      </c>
      <c r="N56" s="49">
        <v>0</v>
      </c>
      <c r="O56" s="49">
        <v>823.74</v>
      </c>
      <c r="P56" s="49">
        <v>112.044183278074</v>
      </c>
    </row>
    <row r="57" spans="1:16" ht="11.25" customHeight="1" x14ac:dyDescent="0.3">
      <c r="A57" s="49">
        <v>56</v>
      </c>
      <c r="B57" s="49" t="s">
        <v>347</v>
      </c>
      <c r="C57" s="49" t="s">
        <v>33</v>
      </c>
      <c r="D57" s="49" t="s">
        <v>84</v>
      </c>
      <c r="E57" s="49" t="s">
        <v>25</v>
      </c>
      <c r="F57" s="49" t="s">
        <v>25</v>
      </c>
      <c r="G57" s="49" t="s">
        <v>25</v>
      </c>
      <c r="H57" s="49" t="s">
        <v>25</v>
      </c>
      <c r="I57" s="49" t="s">
        <v>25</v>
      </c>
      <c r="J57" s="49" t="s">
        <v>491</v>
      </c>
      <c r="K57" s="49" t="s">
        <v>492</v>
      </c>
      <c r="L57" s="49" t="s">
        <v>67</v>
      </c>
      <c r="M57" s="49">
        <v>2021</v>
      </c>
      <c r="N57" s="49">
        <v>0</v>
      </c>
      <c r="O57" s="49">
        <v>823.74</v>
      </c>
      <c r="P57" s="49">
        <v>112.044183278074</v>
      </c>
    </row>
    <row r="58" spans="1:16" ht="11.25" customHeight="1" x14ac:dyDescent="0.3">
      <c r="A58" s="49">
        <v>57</v>
      </c>
      <c r="B58" s="49" t="s">
        <v>347</v>
      </c>
      <c r="C58" s="49" t="s">
        <v>40</v>
      </c>
      <c r="D58" s="49" t="s">
        <v>84</v>
      </c>
      <c r="E58" s="49" t="s">
        <v>41</v>
      </c>
      <c r="F58" s="49" t="s">
        <v>25</v>
      </c>
      <c r="G58" s="49" t="s">
        <v>25</v>
      </c>
      <c r="H58" s="49" t="s">
        <v>25</v>
      </c>
      <c r="I58" s="49" t="s">
        <v>25</v>
      </c>
      <c r="J58" s="49" t="s">
        <v>491</v>
      </c>
      <c r="K58" s="49" t="s">
        <v>492</v>
      </c>
      <c r="L58" s="49" t="s">
        <v>67</v>
      </c>
      <c r="M58" s="49">
        <v>2021</v>
      </c>
      <c r="N58" s="49">
        <v>0</v>
      </c>
      <c r="O58" s="49">
        <v>724.89</v>
      </c>
      <c r="P58" s="49">
        <v>98.598881284704802</v>
      </c>
    </row>
    <row r="59" spans="1:16" ht="11.25" customHeight="1" x14ac:dyDescent="0.3">
      <c r="A59" s="49">
        <v>58</v>
      </c>
      <c r="B59" s="49" t="s">
        <v>347</v>
      </c>
      <c r="C59" s="49" t="s">
        <v>40</v>
      </c>
      <c r="D59" s="49" t="s">
        <v>84</v>
      </c>
      <c r="E59" s="49" t="s">
        <v>41</v>
      </c>
      <c r="F59" s="49" t="s">
        <v>85</v>
      </c>
      <c r="G59" s="49" t="s">
        <v>25</v>
      </c>
      <c r="H59" s="49" t="s">
        <v>25</v>
      </c>
      <c r="I59" s="49" t="s">
        <v>25</v>
      </c>
      <c r="J59" s="49" t="s">
        <v>491</v>
      </c>
      <c r="K59" s="49" t="s">
        <v>492</v>
      </c>
      <c r="L59" s="49" t="s">
        <v>67</v>
      </c>
      <c r="M59" s="49">
        <v>2021</v>
      </c>
      <c r="N59" s="49">
        <v>0</v>
      </c>
      <c r="O59" s="49">
        <v>724.89</v>
      </c>
      <c r="P59" s="49">
        <v>98.598881284704802</v>
      </c>
    </row>
    <row r="60" spans="1:16" ht="11.25" customHeight="1" x14ac:dyDescent="0.3">
      <c r="A60" s="49">
        <v>59</v>
      </c>
      <c r="B60" s="49" t="s">
        <v>347</v>
      </c>
      <c r="C60" s="49" t="s">
        <v>40</v>
      </c>
      <c r="D60" s="49" t="s">
        <v>84</v>
      </c>
      <c r="E60" s="49" t="s">
        <v>41</v>
      </c>
      <c r="F60" s="49" t="s">
        <v>86</v>
      </c>
      <c r="G60" s="49" t="s">
        <v>25</v>
      </c>
      <c r="H60" s="49" t="s">
        <v>25</v>
      </c>
      <c r="I60" s="49" t="s">
        <v>25</v>
      </c>
      <c r="J60" s="49" t="s">
        <v>491</v>
      </c>
      <c r="K60" s="49" t="s">
        <v>492</v>
      </c>
      <c r="L60" s="49" t="s">
        <v>67</v>
      </c>
      <c r="M60" s="49">
        <v>2021</v>
      </c>
      <c r="N60" s="49">
        <v>0</v>
      </c>
      <c r="O60" s="49">
        <v>691.94</v>
      </c>
      <c r="P60" s="49">
        <v>94.117113953581807</v>
      </c>
    </row>
    <row r="61" spans="1:16" ht="11.25" customHeight="1" x14ac:dyDescent="0.3">
      <c r="A61" s="49">
        <v>60</v>
      </c>
      <c r="B61" s="49" t="s">
        <v>347</v>
      </c>
      <c r="C61" s="49" t="s">
        <v>33</v>
      </c>
      <c r="D61" s="49" t="s">
        <v>82</v>
      </c>
      <c r="E61" s="49" t="s">
        <v>25</v>
      </c>
      <c r="F61" s="49" t="s">
        <v>25</v>
      </c>
      <c r="G61" s="49" t="s">
        <v>25</v>
      </c>
      <c r="H61" s="49" t="s">
        <v>25</v>
      </c>
      <c r="I61" s="49" t="s">
        <v>38</v>
      </c>
      <c r="J61" s="49" t="s">
        <v>491</v>
      </c>
      <c r="K61" s="49" t="s">
        <v>492</v>
      </c>
      <c r="L61" s="49" t="s">
        <v>67</v>
      </c>
      <c r="M61" s="49">
        <v>2021</v>
      </c>
      <c r="N61" s="49">
        <v>0</v>
      </c>
      <c r="O61" s="49">
        <v>2433.79</v>
      </c>
      <c r="P61" s="49">
        <v>112.044183278074</v>
      </c>
    </row>
    <row r="62" spans="1:16" ht="11.25" customHeight="1" x14ac:dyDescent="0.3">
      <c r="A62" s="49">
        <v>61</v>
      </c>
      <c r="B62" s="49" t="s">
        <v>347</v>
      </c>
      <c r="C62" s="49" t="s">
        <v>33</v>
      </c>
      <c r="D62" s="49" t="s">
        <v>82</v>
      </c>
      <c r="E62" s="49" t="s">
        <v>25</v>
      </c>
      <c r="F62" s="49" t="s">
        <v>25</v>
      </c>
      <c r="G62" s="49" t="s">
        <v>25</v>
      </c>
      <c r="H62" s="49" t="s">
        <v>25</v>
      </c>
      <c r="I62" s="49" t="s">
        <v>493</v>
      </c>
      <c r="J62" s="49" t="s">
        <v>491</v>
      </c>
      <c r="K62" s="49" t="s">
        <v>492</v>
      </c>
      <c r="L62" s="49" t="s">
        <v>67</v>
      </c>
      <c r="M62" s="49">
        <v>2021</v>
      </c>
      <c r="N62" s="49">
        <v>0</v>
      </c>
      <c r="O62" s="49">
        <v>1521.43</v>
      </c>
      <c r="P62" s="49">
        <v>112.044183278074</v>
      </c>
    </row>
    <row r="63" spans="1:16" ht="11.25" customHeight="1" x14ac:dyDescent="0.3">
      <c r="A63" s="49">
        <v>62</v>
      </c>
      <c r="B63" s="49" t="s">
        <v>347</v>
      </c>
      <c r="C63" s="49" t="s">
        <v>40</v>
      </c>
      <c r="D63" s="49" t="s">
        <v>82</v>
      </c>
      <c r="E63" s="49" t="s">
        <v>41</v>
      </c>
      <c r="F63" s="49" t="s">
        <v>86</v>
      </c>
      <c r="G63" s="49" t="s">
        <v>25</v>
      </c>
      <c r="H63" s="49" t="s">
        <v>25</v>
      </c>
      <c r="I63" s="49" t="s">
        <v>493</v>
      </c>
      <c r="J63" s="49" t="s">
        <v>491</v>
      </c>
      <c r="K63" s="49" t="s">
        <v>492</v>
      </c>
      <c r="L63" s="49" t="s">
        <v>67</v>
      </c>
      <c r="M63" s="49">
        <v>2021</v>
      </c>
      <c r="N63" s="49">
        <v>0</v>
      </c>
      <c r="O63" s="49">
        <v>1142.75</v>
      </c>
      <c r="P63" s="49">
        <v>94.117113953581807</v>
      </c>
    </row>
    <row r="64" spans="1:16" ht="11.25" customHeight="1" x14ac:dyDescent="0.3">
      <c r="A64" s="49">
        <v>63</v>
      </c>
      <c r="B64" s="49" t="s">
        <v>347</v>
      </c>
      <c r="C64" s="49" t="s">
        <v>40</v>
      </c>
      <c r="D64" s="49" t="s">
        <v>82</v>
      </c>
      <c r="E64" s="49" t="s">
        <v>41</v>
      </c>
      <c r="F64" s="49" t="s">
        <v>86</v>
      </c>
      <c r="G64" s="49" t="s">
        <v>25</v>
      </c>
      <c r="H64" s="49" t="s">
        <v>25</v>
      </c>
      <c r="I64" s="49" t="s">
        <v>39</v>
      </c>
      <c r="J64" s="49" t="s">
        <v>491</v>
      </c>
      <c r="K64" s="49" t="s">
        <v>492</v>
      </c>
      <c r="L64" s="49" t="s">
        <v>67</v>
      </c>
      <c r="M64" s="49">
        <v>2021</v>
      </c>
      <c r="N64" s="49">
        <v>0</v>
      </c>
      <c r="O64" s="49">
        <v>466.54</v>
      </c>
      <c r="P64" s="49">
        <v>94.117113953581807</v>
      </c>
    </row>
    <row r="65" spans="1:16" ht="11.25" customHeight="1" x14ac:dyDescent="0.3">
      <c r="A65" s="49">
        <v>64</v>
      </c>
      <c r="B65" s="49" t="s">
        <v>347</v>
      </c>
      <c r="C65" s="49" t="s">
        <v>40</v>
      </c>
      <c r="D65" s="49" t="s">
        <v>23</v>
      </c>
      <c r="E65" s="49" t="s">
        <v>41</v>
      </c>
      <c r="F65" s="49" t="s">
        <v>86</v>
      </c>
      <c r="G65" s="49" t="s">
        <v>25</v>
      </c>
      <c r="H65" s="49" t="s">
        <v>25</v>
      </c>
      <c r="I65" s="49" t="s">
        <v>25</v>
      </c>
      <c r="J65" s="49" t="s">
        <v>491</v>
      </c>
      <c r="K65" s="49" t="s">
        <v>492</v>
      </c>
      <c r="L65" s="49" t="s">
        <v>67</v>
      </c>
      <c r="M65" s="49">
        <v>2021</v>
      </c>
      <c r="N65" s="49">
        <v>0</v>
      </c>
      <c r="O65" s="49">
        <v>691.94</v>
      </c>
      <c r="P65" s="49">
        <v>94.117113953581807</v>
      </c>
    </row>
    <row r="66" spans="1:16" ht="11.25" customHeight="1" x14ac:dyDescent="0.3">
      <c r="A66" s="49">
        <v>65</v>
      </c>
      <c r="B66" s="49" t="s">
        <v>347</v>
      </c>
      <c r="C66" s="49" t="s">
        <v>22</v>
      </c>
      <c r="D66" s="49" t="s">
        <v>84</v>
      </c>
      <c r="E66" s="49" t="s">
        <v>24</v>
      </c>
      <c r="F66" s="49" t="s">
        <v>30</v>
      </c>
      <c r="G66" s="49" t="s">
        <v>25</v>
      </c>
      <c r="H66" s="49" t="s">
        <v>25</v>
      </c>
      <c r="I66" s="49" t="s">
        <v>25</v>
      </c>
      <c r="J66" s="49" t="s">
        <v>491</v>
      </c>
      <c r="K66" s="49" t="s">
        <v>492</v>
      </c>
      <c r="L66" s="49" t="s">
        <v>67</v>
      </c>
      <c r="M66" s="49">
        <v>2021</v>
      </c>
      <c r="N66" s="49">
        <v>0</v>
      </c>
      <c r="O66" s="49">
        <v>420.02</v>
      </c>
      <c r="P66" s="49">
        <v>0</v>
      </c>
    </row>
    <row r="67" spans="1:16" ht="11.25" customHeight="1" x14ac:dyDescent="0.3">
      <c r="A67" s="49">
        <v>66</v>
      </c>
      <c r="B67" s="49" t="s">
        <v>347</v>
      </c>
      <c r="C67" s="49" t="s">
        <v>22</v>
      </c>
      <c r="D67" s="49" t="s">
        <v>84</v>
      </c>
      <c r="E67" s="49" t="s">
        <v>24</v>
      </c>
      <c r="F67" s="49" t="s">
        <v>31</v>
      </c>
      <c r="G67" s="49" t="s">
        <v>25</v>
      </c>
      <c r="H67" s="49" t="s">
        <v>25</v>
      </c>
      <c r="I67" s="49" t="s">
        <v>25</v>
      </c>
      <c r="J67" s="49" t="s">
        <v>491</v>
      </c>
      <c r="K67" s="49" t="s">
        <v>492</v>
      </c>
      <c r="L67" s="49" t="s">
        <v>67</v>
      </c>
      <c r="M67" s="49">
        <v>2021</v>
      </c>
      <c r="N67" s="49">
        <v>0</v>
      </c>
      <c r="O67" s="49">
        <v>630.02</v>
      </c>
      <c r="P67" s="49">
        <v>0</v>
      </c>
    </row>
    <row r="68" spans="1:16" ht="11.25" customHeight="1" x14ac:dyDescent="0.3">
      <c r="A68" s="49">
        <v>67</v>
      </c>
      <c r="B68" s="49" t="s">
        <v>347</v>
      </c>
      <c r="C68" s="49" t="s">
        <v>40</v>
      </c>
      <c r="D68" s="49" t="s">
        <v>23</v>
      </c>
      <c r="E68" s="49" t="s">
        <v>41</v>
      </c>
      <c r="F68" s="49" t="s">
        <v>85</v>
      </c>
      <c r="G68" s="49" t="s">
        <v>25</v>
      </c>
      <c r="H68" s="49" t="s">
        <v>25</v>
      </c>
      <c r="I68" s="49" t="s">
        <v>25</v>
      </c>
      <c r="J68" s="49" t="s">
        <v>491</v>
      </c>
      <c r="K68" s="49" t="s">
        <v>492</v>
      </c>
      <c r="L68" s="49" t="s">
        <v>67</v>
      </c>
      <c r="M68" s="49">
        <v>2021</v>
      </c>
      <c r="N68" s="49">
        <v>0</v>
      </c>
      <c r="O68" s="49">
        <v>724.89</v>
      </c>
      <c r="P68" s="49">
        <v>98.598881284704802</v>
      </c>
    </row>
    <row r="69" spans="1:16" ht="11.25" customHeight="1" x14ac:dyDescent="0.3">
      <c r="A69" s="49">
        <v>68</v>
      </c>
      <c r="B69" s="49" t="s">
        <v>347</v>
      </c>
      <c r="C69" s="49" t="s">
        <v>40</v>
      </c>
      <c r="D69" s="49" t="s">
        <v>82</v>
      </c>
      <c r="E69" s="49" t="s">
        <v>41</v>
      </c>
      <c r="F69" s="49" t="s">
        <v>86</v>
      </c>
      <c r="G69" s="49" t="s">
        <v>25</v>
      </c>
      <c r="H69" s="49" t="s">
        <v>25</v>
      </c>
      <c r="I69" s="49" t="s">
        <v>38</v>
      </c>
      <c r="J69" s="49" t="s">
        <v>491</v>
      </c>
      <c r="K69" s="49" t="s">
        <v>492</v>
      </c>
      <c r="L69" s="49" t="s">
        <v>67</v>
      </c>
      <c r="M69" s="49">
        <v>2021</v>
      </c>
      <c r="N69" s="49">
        <v>0</v>
      </c>
      <c r="O69" s="49">
        <v>1818.97</v>
      </c>
      <c r="P69" s="49">
        <v>94.117113953581807</v>
      </c>
    </row>
    <row r="70" spans="1:16" ht="11.25" customHeight="1" x14ac:dyDescent="0.3">
      <c r="A70" s="49">
        <v>69</v>
      </c>
      <c r="B70" s="49" t="s">
        <v>347</v>
      </c>
      <c r="C70" s="49" t="s">
        <v>40</v>
      </c>
      <c r="D70" s="49" t="s">
        <v>82</v>
      </c>
      <c r="E70" s="49" t="s">
        <v>41</v>
      </c>
      <c r="F70" s="49" t="s">
        <v>85</v>
      </c>
      <c r="G70" s="49" t="s">
        <v>25</v>
      </c>
      <c r="H70" s="49" t="s">
        <v>25</v>
      </c>
      <c r="I70" s="49" t="s">
        <v>38</v>
      </c>
      <c r="J70" s="49" t="s">
        <v>491</v>
      </c>
      <c r="K70" s="49" t="s">
        <v>492</v>
      </c>
      <c r="L70" s="49" t="s">
        <v>67</v>
      </c>
      <c r="M70" s="49">
        <v>2021</v>
      </c>
      <c r="N70" s="49">
        <v>0</v>
      </c>
      <c r="O70" s="49">
        <v>1905.59</v>
      </c>
      <c r="P70" s="49">
        <v>98.598881284704802</v>
      </c>
    </row>
    <row r="71" spans="1:16" ht="11.25" customHeight="1" x14ac:dyDescent="0.3">
      <c r="A71" s="49">
        <v>70</v>
      </c>
      <c r="B71" s="49" t="s">
        <v>347</v>
      </c>
      <c r="C71" s="49" t="s">
        <v>40</v>
      </c>
      <c r="D71" s="49" t="s">
        <v>82</v>
      </c>
      <c r="E71" s="49" t="s">
        <v>41</v>
      </c>
      <c r="F71" s="49" t="s">
        <v>85</v>
      </c>
      <c r="G71" s="49" t="s">
        <v>25</v>
      </c>
      <c r="H71" s="49" t="s">
        <v>25</v>
      </c>
      <c r="I71" s="49" t="s">
        <v>493</v>
      </c>
      <c r="J71" s="49" t="s">
        <v>491</v>
      </c>
      <c r="K71" s="49" t="s">
        <v>492</v>
      </c>
      <c r="L71" s="49" t="s">
        <v>67</v>
      </c>
      <c r="M71" s="49">
        <v>2021</v>
      </c>
      <c r="N71" s="49">
        <v>0</v>
      </c>
      <c r="O71" s="49">
        <v>1197.17</v>
      </c>
      <c r="P71" s="49">
        <v>98.598881284704802</v>
      </c>
    </row>
    <row r="72" spans="1:16" ht="11.25" customHeight="1" x14ac:dyDescent="0.3">
      <c r="A72" s="49">
        <v>71</v>
      </c>
      <c r="B72" s="49" t="s">
        <v>347</v>
      </c>
      <c r="C72" s="49" t="s">
        <v>40</v>
      </c>
      <c r="D72" s="49" t="s">
        <v>82</v>
      </c>
      <c r="E72" s="49" t="s">
        <v>41</v>
      </c>
      <c r="F72" s="49" t="s">
        <v>85</v>
      </c>
      <c r="G72" s="49" t="s">
        <v>25</v>
      </c>
      <c r="H72" s="49" t="s">
        <v>25</v>
      </c>
      <c r="I72" s="49" t="s">
        <v>39</v>
      </c>
      <c r="J72" s="49" t="s">
        <v>491</v>
      </c>
      <c r="K72" s="49" t="s">
        <v>492</v>
      </c>
      <c r="L72" s="49" t="s">
        <v>67</v>
      </c>
      <c r="M72" s="49">
        <v>2021</v>
      </c>
      <c r="N72" s="49">
        <v>0</v>
      </c>
      <c r="O72" s="49">
        <v>488.75</v>
      </c>
      <c r="P72" s="49">
        <v>98.598881284704802</v>
      </c>
    </row>
    <row r="73" spans="1:16" ht="11.25" customHeight="1" x14ac:dyDescent="0.3">
      <c r="A73" s="49">
        <v>72</v>
      </c>
      <c r="B73" s="49" t="s">
        <v>347</v>
      </c>
      <c r="C73" s="49" t="s">
        <v>40</v>
      </c>
      <c r="D73" s="49" t="s">
        <v>82</v>
      </c>
      <c r="E73" s="49" t="s">
        <v>41</v>
      </c>
      <c r="F73" s="49" t="s">
        <v>25</v>
      </c>
      <c r="G73" s="49" t="s">
        <v>25</v>
      </c>
      <c r="H73" s="49" t="s">
        <v>25</v>
      </c>
      <c r="I73" s="49" t="s">
        <v>493</v>
      </c>
      <c r="J73" s="49" t="s">
        <v>491</v>
      </c>
      <c r="K73" s="49" t="s">
        <v>492</v>
      </c>
      <c r="L73" s="49" t="s">
        <v>67</v>
      </c>
      <c r="M73" s="49">
        <v>2021</v>
      </c>
      <c r="N73" s="49">
        <v>0</v>
      </c>
      <c r="O73" s="49">
        <v>1197.17</v>
      </c>
      <c r="P73" s="49">
        <v>98.598881284704802</v>
      </c>
    </row>
    <row r="74" spans="1:16" ht="11.25" customHeight="1" x14ac:dyDescent="0.3">
      <c r="A74" s="49">
        <v>73</v>
      </c>
      <c r="B74" s="49" t="s">
        <v>347</v>
      </c>
      <c r="C74" s="49" t="s">
        <v>40</v>
      </c>
      <c r="D74" s="49" t="s">
        <v>82</v>
      </c>
      <c r="E74" s="49" t="s">
        <v>41</v>
      </c>
      <c r="F74" s="49" t="s">
        <v>25</v>
      </c>
      <c r="G74" s="49" t="s">
        <v>25</v>
      </c>
      <c r="H74" s="49" t="s">
        <v>25</v>
      </c>
      <c r="I74" s="49" t="s">
        <v>39</v>
      </c>
      <c r="J74" s="49" t="s">
        <v>491</v>
      </c>
      <c r="K74" s="49" t="s">
        <v>492</v>
      </c>
      <c r="L74" s="49" t="s">
        <v>67</v>
      </c>
      <c r="M74" s="49">
        <v>2021</v>
      </c>
      <c r="N74" s="49">
        <v>0</v>
      </c>
      <c r="O74" s="49">
        <v>488.75</v>
      </c>
      <c r="P74" s="49">
        <v>98.598881284704802</v>
      </c>
    </row>
    <row r="75" spans="1:16" ht="11.25" customHeight="1" x14ac:dyDescent="0.3">
      <c r="A75" s="49">
        <v>74</v>
      </c>
      <c r="B75" s="49" t="s">
        <v>347</v>
      </c>
      <c r="C75" s="49" t="s">
        <v>40</v>
      </c>
      <c r="D75" s="49" t="s">
        <v>23</v>
      </c>
      <c r="E75" s="49" t="s">
        <v>41</v>
      </c>
      <c r="F75" s="49" t="s">
        <v>25</v>
      </c>
      <c r="G75" s="49" t="s">
        <v>25</v>
      </c>
      <c r="H75" s="49" t="s">
        <v>25</v>
      </c>
      <c r="I75" s="49" t="s">
        <v>25</v>
      </c>
      <c r="J75" s="49" t="s">
        <v>491</v>
      </c>
      <c r="K75" s="49" t="s">
        <v>492</v>
      </c>
      <c r="L75" s="49" t="s">
        <v>67</v>
      </c>
      <c r="M75" s="49">
        <v>2021</v>
      </c>
      <c r="N75" s="49">
        <v>0</v>
      </c>
      <c r="O75" s="49">
        <v>724.89</v>
      </c>
      <c r="P75" s="49">
        <v>98.598881284704802</v>
      </c>
    </row>
    <row r="76" spans="1:16" ht="11.25" customHeight="1" x14ac:dyDescent="0.3">
      <c r="A76" s="49">
        <v>75</v>
      </c>
      <c r="B76" s="49" t="s">
        <v>347</v>
      </c>
      <c r="C76" s="49" t="s">
        <v>22</v>
      </c>
      <c r="D76" s="49" t="s">
        <v>84</v>
      </c>
      <c r="E76" s="49" t="s">
        <v>24</v>
      </c>
      <c r="F76" s="49" t="s">
        <v>32</v>
      </c>
      <c r="G76" s="49" t="s">
        <v>25</v>
      </c>
      <c r="H76" s="49" t="s">
        <v>25</v>
      </c>
      <c r="I76" s="49" t="s">
        <v>25</v>
      </c>
      <c r="J76" s="49" t="s">
        <v>491</v>
      </c>
      <c r="K76" s="49" t="s">
        <v>492</v>
      </c>
      <c r="L76" s="49" t="s">
        <v>67</v>
      </c>
      <c r="M76" s="49">
        <v>2021</v>
      </c>
      <c r="N76" s="49">
        <v>0</v>
      </c>
      <c r="O76" s="49">
        <v>700.03</v>
      </c>
      <c r="P76" s="49">
        <v>0</v>
      </c>
    </row>
    <row r="77" spans="1:16" ht="11.25" customHeight="1" x14ac:dyDescent="0.3">
      <c r="A77" s="49">
        <v>76</v>
      </c>
      <c r="B77" s="49" t="s">
        <v>347</v>
      </c>
      <c r="C77" s="49" t="s">
        <v>40</v>
      </c>
      <c r="D77" s="49" t="s">
        <v>82</v>
      </c>
      <c r="E77" s="49" t="s">
        <v>41</v>
      </c>
      <c r="F77" s="49" t="s">
        <v>25</v>
      </c>
      <c r="G77" s="49" t="s">
        <v>25</v>
      </c>
      <c r="H77" s="49" t="s">
        <v>25</v>
      </c>
      <c r="I77" s="49" t="s">
        <v>38</v>
      </c>
      <c r="J77" s="49" t="s">
        <v>491</v>
      </c>
      <c r="K77" s="49" t="s">
        <v>492</v>
      </c>
      <c r="L77" s="49" t="s">
        <v>67</v>
      </c>
      <c r="M77" s="49">
        <v>2021</v>
      </c>
      <c r="N77" s="49">
        <v>0</v>
      </c>
      <c r="O77" s="49">
        <v>1905.59</v>
      </c>
      <c r="P77" s="49">
        <v>98.598881284704802</v>
      </c>
    </row>
    <row r="78" spans="1:16" ht="11.25" customHeight="1" x14ac:dyDescent="0.3">
      <c r="A78" s="49">
        <v>77</v>
      </c>
      <c r="B78" s="49" t="s">
        <v>347</v>
      </c>
      <c r="C78" s="49" t="s">
        <v>36</v>
      </c>
      <c r="D78" s="49" t="s">
        <v>70</v>
      </c>
      <c r="E78" s="49" t="s">
        <v>25</v>
      </c>
      <c r="F78" s="49" t="s">
        <v>25</v>
      </c>
      <c r="G78" s="49" t="s">
        <v>25</v>
      </c>
      <c r="H78" s="49" t="s">
        <v>25</v>
      </c>
      <c r="I78" s="49" t="s">
        <v>25</v>
      </c>
      <c r="J78" s="49" t="s">
        <v>491</v>
      </c>
      <c r="K78" s="49" t="s">
        <v>492</v>
      </c>
      <c r="L78" s="49" t="s">
        <v>67</v>
      </c>
      <c r="M78" s="49">
        <v>2021</v>
      </c>
      <c r="N78" s="49">
        <v>0</v>
      </c>
      <c r="O78" s="49">
        <v>123.21</v>
      </c>
      <c r="P78" s="49">
        <v>97.478439451924004</v>
      </c>
    </row>
    <row r="79" spans="1:16" ht="11.25" customHeight="1" x14ac:dyDescent="0.3">
      <c r="A79" s="49">
        <v>78</v>
      </c>
      <c r="B79" s="49" t="s">
        <v>347</v>
      </c>
      <c r="C79" s="49" t="s">
        <v>36</v>
      </c>
      <c r="D79" s="49" t="s">
        <v>70</v>
      </c>
      <c r="E79" s="49" t="s">
        <v>25</v>
      </c>
      <c r="F79" s="49" t="s">
        <v>25</v>
      </c>
      <c r="G79" s="49" t="s">
        <v>75</v>
      </c>
      <c r="H79" s="49" t="s">
        <v>25</v>
      </c>
      <c r="I79" s="49" t="s">
        <v>25</v>
      </c>
      <c r="J79" s="49" t="s">
        <v>491</v>
      </c>
      <c r="K79" s="49" t="s">
        <v>492</v>
      </c>
      <c r="L79" s="49" t="s">
        <v>67</v>
      </c>
      <c r="M79" s="49">
        <v>2021</v>
      </c>
      <c r="N79" s="49">
        <v>0</v>
      </c>
      <c r="O79" s="49">
        <v>14.35</v>
      </c>
      <c r="P79" s="49">
        <v>0</v>
      </c>
    </row>
    <row r="80" spans="1:16" ht="11.25" customHeight="1" x14ac:dyDescent="0.3">
      <c r="A80" s="49">
        <v>79</v>
      </c>
      <c r="B80" s="49" t="s">
        <v>347</v>
      </c>
      <c r="C80" s="49" t="s">
        <v>36</v>
      </c>
      <c r="D80" s="49" t="s">
        <v>76</v>
      </c>
      <c r="E80" s="49" t="s">
        <v>25</v>
      </c>
      <c r="F80" s="49" t="s">
        <v>25</v>
      </c>
      <c r="G80" s="49" t="s">
        <v>25</v>
      </c>
      <c r="H80" s="49" t="s">
        <v>25</v>
      </c>
      <c r="I80" s="49" t="s">
        <v>25</v>
      </c>
      <c r="J80" s="49" t="s">
        <v>494</v>
      </c>
      <c r="K80" s="49" t="s">
        <v>492</v>
      </c>
      <c r="L80" s="49" t="s">
        <v>71</v>
      </c>
      <c r="M80" s="49">
        <v>2021</v>
      </c>
      <c r="N80" s="49">
        <v>0</v>
      </c>
      <c r="O80" s="49">
        <v>11.98</v>
      </c>
      <c r="P80" s="49">
        <v>0</v>
      </c>
    </row>
    <row r="81" spans="1:16" ht="11.25" customHeight="1" x14ac:dyDescent="0.3">
      <c r="A81" s="49">
        <v>80</v>
      </c>
      <c r="B81" s="49" t="s">
        <v>347</v>
      </c>
      <c r="C81" s="49" t="s">
        <v>36</v>
      </c>
      <c r="D81" s="49" t="s">
        <v>37</v>
      </c>
      <c r="E81" s="49" t="s">
        <v>25</v>
      </c>
      <c r="F81" s="49" t="s">
        <v>25</v>
      </c>
      <c r="G81" s="49" t="s">
        <v>25</v>
      </c>
      <c r="H81" s="49" t="s">
        <v>25</v>
      </c>
      <c r="I81" s="49" t="s">
        <v>25</v>
      </c>
      <c r="J81" s="49" t="s">
        <v>494</v>
      </c>
      <c r="K81" s="49" t="s">
        <v>492</v>
      </c>
      <c r="L81" s="49" t="s">
        <v>71</v>
      </c>
      <c r="M81" s="49">
        <v>2021</v>
      </c>
      <c r="N81" s="49">
        <v>0</v>
      </c>
      <c r="O81" s="49">
        <v>53.08</v>
      </c>
      <c r="P81" s="49">
        <v>0</v>
      </c>
    </row>
    <row r="82" spans="1:16" ht="11.25" customHeight="1" x14ac:dyDescent="0.3">
      <c r="A82" s="49">
        <v>81</v>
      </c>
      <c r="B82" s="49" t="s">
        <v>347</v>
      </c>
      <c r="C82" s="49" t="s">
        <v>36</v>
      </c>
      <c r="D82" s="49" t="s">
        <v>70</v>
      </c>
      <c r="E82" s="49" t="s">
        <v>25</v>
      </c>
      <c r="F82" s="49" t="s">
        <v>25</v>
      </c>
      <c r="G82" s="49" t="s">
        <v>25</v>
      </c>
      <c r="H82" s="49" t="s">
        <v>25</v>
      </c>
      <c r="I82" s="49" t="s">
        <v>38</v>
      </c>
      <c r="J82" s="49" t="s">
        <v>494</v>
      </c>
      <c r="K82" s="49" t="s">
        <v>492</v>
      </c>
      <c r="L82" s="49" t="s">
        <v>71</v>
      </c>
      <c r="M82" s="49">
        <v>2021</v>
      </c>
      <c r="N82" s="49">
        <v>0</v>
      </c>
      <c r="O82" s="49">
        <v>149.19</v>
      </c>
      <c r="P82" s="49">
        <v>0</v>
      </c>
    </row>
    <row r="83" spans="1:16" ht="11.25" customHeight="1" x14ac:dyDescent="0.3">
      <c r="A83" s="49">
        <v>82</v>
      </c>
      <c r="B83" s="49" t="s">
        <v>347</v>
      </c>
      <c r="C83" s="49" t="s">
        <v>36</v>
      </c>
      <c r="D83" s="49" t="s">
        <v>70</v>
      </c>
      <c r="E83" s="49" t="s">
        <v>25</v>
      </c>
      <c r="F83" s="49" t="s">
        <v>25</v>
      </c>
      <c r="G83" s="49" t="s">
        <v>25</v>
      </c>
      <c r="H83" s="49" t="s">
        <v>25</v>
      </c>
      <c r="I83" s="49" t="s">
        <v>39</v>
      </c>
      <c r="J83" s="49" t="s">
        <v>494</v>
      </c>
      <c r="K83" s="49" t="s">
        <v>492</v>
      </c>
      <c r="L83" s="49" t="s">
        <v>71</v>
      </c>
      <c r="M83" s="49">
        <v>2021</v>
      </c>
      <c r="N83" s="49">
        <v>0</v>
      </c>
      <c r="O83" s="49">
        <v>53.08</v>
      </c>
      <c r="P83" s="49">
        <v>0</v>
      </c>
    </row>
    <row r="84" spans="1:16" ht="11.25" customHeight="1" x14ac:dyDescent="0.3">
      <c r="A84" s="49">
        <v>83</v>
      </c>
      <c r="B84" s="49" t="s">
        <v>347</v>
      </c>
      <c r="C84" s="49" t="s">
        <v>36</v>
      </c>
      <c r="D84" s="49" t="s">
        <v>37</v>
      </c>
      <c r="E84" s="49" t="s">
        <v>25</v>
      </c>
      <c r="F84" s="49" t="s">
        <v>25</v>
      </c>
      <c r="G84" s="49" t="s">
        <v>25</v>
      </c>
      <c r="H84" s="49" t="s">
        <v>25</v>
      </c>
      <c r="I84" s="49" t="s">
        <v>38</v>
      </c>
      <c r="J84" s="49" t="s">
        <v>491</v>
      </c>
      <c r="K84" s="49" t="s">
        <v>492</v>
      </c>
      <c r="L84" s="49" t="s">
        <v>67</v>
      </c>
      <c r="M84" s="49">
        <v>2021</v>
      </c>
      <c r="N84" s="49">
        <v>0</v>
      </c>
      <c r="O84" s="49">
        <v>3711.27</v>
      </c>
      <c r="P84" s="49">
        <v>97.478439451924004</v>
      </c>
    </row>
    <row r="85" spans="1:16" ht="11.25" customHeight="1" x14ac:dyDescent="0.3">
      <c r="A85" s="49">
        <v>84</v>
      </c>
      <c r="B85" s="49" t="s">
        <v>347</v>
      </c>
      <c r="C85" s="49" t="s">
        <v>36</v>
      </c>
      <c r="D85" s="49" t="s">
        <v>37</v>
      </c>
      <c r="E85" s="49" t="s">
        <v>25</v>
      </c>
      <c r="F85" s="49" t="s">
        <v>25</v>
      </c>
      <c r="G85" s="49" t="s">
        <v>25</v>
      </c>
      <c r="H85" s="49" t="s">
        <v>25</v>
      </c>
      <c r="I85" s="49" t="s">
        <v>39</v>
      </c>
      <c r="J85" s="49" t="s">
        <v>491</v>
      </c>
      <c r="K85" s="49" t="s">
        <v>492</v>
      </c>
      <c r="L85" s="49" t="s">
        <v>67</v>
      </c>
      <c r="M85" s="49">
        <v>2021</v>
      </c>
      <c r="N85" s="49">
        <v>0</v>
      </c>
      <c r="O85" s="49">
        <v>123.21</v>
      </c>
      <c r="P85" s="49">
        <v>97.478439451924004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16D-3849-4BEA-AF85-1DC1838F7461}">
  <dimension ref="A1:AD49"/>
  <sheetViews>
    <sheetView showGridLines="0" workbookViewId="0">
      <selection sqref="A1:W49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1">
        <v>44287</v>
      </c>
      <c r="J1" s="11">
        <v>44317</v>
      </c>
      <c r="K1" s="11">
        <v>44348</v>
      </c>
      <c r="L1" s="11">
        <v>44378</v>
      </c>
      <c r="M1" s="11">
        <v>44409</v>
      </c>
      <c r="N1" s="11">
        <v>44440</v>
      </c>
      <c r="O1" s="11">
        <v>44470</v>
      </c>
      <c r="P1" s="11">
        <v>44501</v>
      </c>
      <c r="Q1" s="11">
        <v>44531</v>
      </c>
      <c r="R1" s="11">
        <v>44562</v>
      </c>
      <c r="S1" s="11">
        <v>44593</v>
      </c>
      <c r="T1" s="11">
        <v>44621</v>
      </c>
      <c r="U1" s="10" t="s">
        <v>65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06" t="s">
        <v>36</v>
      </c>
      <c r="B2" s="106" t="s">
        <v>70</v>
      </c>
      <c r="C2" s="106" t="s">
        <v>25</v>
      </c>
      <c r="D2" s="106" t="s">
        <v>25</v>
      </c>
      <c r="E2" s="106" t="s">
        <v>25</v>
      </c>
      <c r="F2" s="106" t="s">
        <v>25</v>
      </c>
      <c r="G2" s="12" t="s">
        <v>72</v>
      </c>
      <c r="H2" s="12" t="s">
        <v>71</v>
      </c>
      <c r="I2" s="12">
        <f>SUMIF(Mercado_Receita!$S$2:$S$298,"44287A4AzulNão se aplicaNão se aplicaNão se aplicaNão se aplicaPonta",Mercado_Receita!$J$2:$J$298)+SUMIF(Mercado_Receita!$S$2:$S$298,"44287A4AzulNão se aplicaNão se aplicaAPENão se aplicaPonta",Mercado_Receita!$J$2:$J$298)</f>
        <v>0</v>
      </c>
      <c r="J2" s="12">
        <f>SUMIF(Mercado_Receita!$S$2:$S$298,"44317A4AzulNão se aplicaNão se aplicaNão se aplicaNão se aplicaPonta",Mercado_Receita!$J$2:$J$298)+SUMIF(Mercado_Receita!$S$2:$S$298,"44317A4AzulNão se aplicaNão se aplicaAPENão se aplicaPonta",Mercado_Receita!$J$2:$J$298)</f>
        <v>0</v>
      </c>
      <c r="K2" s="12">
        <f>SUMIF(Mercado_Receita!$S$2:$S$298,"44348A4AzulNão se aplicaNão se aplicaNão se aplicaNão se aplicaPonta",Mercado_Receita!$J$2:$J$298)+SUMIF(Mercado_Receita!$S$2:$S$298,"44348A4AzulNão se aplicaNão se aplicaAPENão se aplicaPonta",Mercado_Receita!$J$2:$J$298)</f>
        <v>0</v>
      </c>
      <c r="L2" s="12">
        <f>SUMIF(Mercado_Receita!$S$2:$S$298,"44378A4AzulNão se aplicaNão se aplicaNão se aplicaNão se aplicaPonta",Mercado_Receita!$J$2:$J$298)+SUMIF(Mercado_Receita!$S$2:$S$298,"44378A4AzulNão se aplicaNão se aplicaAPENão se aplicaPonta",Mercado_Receita!$J$2:$J$298)</f>
        <v>0</v>
      </c>
      <c r="M2" s="12">
        <f>SUMIF(Mercado_Receita!$S$2:$S$298,"44409A4AzulNão se aplicaNão se aplicaNão se aplicaNão se aplicaPonta",Mercado_Receita!$J$2:$J$298)+SUMIF(Mercado_Receita!$S$2:$S$298,"44409A4AzulNão se aplicaNão se aplicaAPENão se aplicaPonta",Mercado_Receita!$J$2:$J$298)</f>
        <v>0</v>
      </c>
      <c r="N2" s="12">
        <f>SUMIF(Mercado_Receita!$S$2:$S$298,"44440A4AzulNão se aplicaNão se aplicaNão se aplicaNão se aplicaPonta",Mercado_Receita!$J$2:$J$298)+SUMIF(Mercado_Receita!$S$2:$S$298,"44440A4AzulNão se aplicaNão se aplicaAPENão se aplicaPonta",Mercado_Receita!$J$2:$J$298)</f>
        <v>0</v>
      </c>
      <c r="O2" s="12">
        <f>SUMIF(Mercado_Receita!$S$2:$S$298,"44470A4AzulNão se aplicaNão se aplicaNão se aplicaNão se aplicaPonta",Mercado_Receita!$J$2:$J$298)+SUMIF(Mercado_Receita!$S$2:$S$298,"44470A4AzulNão se aplicaNão se aplicaAPENão se aplicaPonta",Mercado_Receita!$J$2:$J$298)</f>
        <v>0</v>
      </c>
      <c r="P2" s="12">
        <f>SUMIF(Mercado_Receita!$S$2:$S$298,"44501A4AzulNão se aplicaNão se aplicaNão se aplicaNão se aplicaPonta",Mercado_Receita!$J$2:$J$298)+SUMIF(Mercado_Receita!$S$2:$S$298,"44501A4AzulNão se aplicaNão se aplicaAPENão se aplicaPonta",Mercado_Receita!$J$2:$J$298)</f>
        <v>0</v>
      </c>
      <c r="Q2" s="12">
        <f>SUMIF(Mercado_Receita!$S$2:$S$298,"44531A4AzulNão se aplicaNão se aplicaNão se aplicaNão se aplicaPonta",Mercado_Receita!$J$2:$J$298)+SUMIF(Mercado_Receita!$S$2:$S$298,"44531A4AzulNão se aplicaNão se aplicaAPENão se aplicaPonta",Mercado_Receita!$J$2:$J$298)</f>
        <v>0</v>
      </c>
      <c r="R2" s="12">
        <f>SUMIF(Mercado_Receita!$S$2:$S$298,"44562A4AzulNão se aplicaNão se aplicaNão se aplicaNão se aplicaPonta",Mercado_Receita!$J$2:$J$298)+SUMIF(Mercado_Receita!$S$2:$S$298,"44562A4AzulNão se aplicaNão se aplicaAPENão se aplicaPonta",Mercado_Receita!$J$2:$J$298)</f>
        <v>0</v>
      </c>
      <c r="S2" s="12">
        <f>SUMIF(Mercado_Receita!$S$2:$S$298,"44593A4AzulNão se aplicaNão se aplicaNão se aplicaNão se aplicaPonta",Mercado_Receita!$J$2:$J$298)+SUMIF(Mercado_Receita!$S$2:$S$298,"44593A4AzulNão se aplicaNão se aplicaAPENão se aplicaPonta",Mercado_Receita!$J$2:$J$298)</f>
        <v>0</v>
      </c>
      <c r="T2" s="12">
        <f>SUMIF(Mercado_Receita!$S$2:$S$298,"44621A4AzulNão se aplicaNão se aplicaNão se aplicaNão se aplicaPonta",Mercado_Receita!$J$2:$J$298)+SUMIF(Mercado_Receita!$S$2:$S$298,"44621A4AzulNão se aplicaNão se aplicaAPENão se aplicaPonta",Mercado_Receita!$J$2:$J$298)</f>
        <v>0</v>
      </c>
      <c r="U2" s="12">
        <f t="shared" ref="U2:U48" si="0">SUM(I2:T2)</f>
        <v>0</v>
      </c>
      <c r="V2" s="12"/>
      <c r="W2" s="12"/>
    </row>
    <row r="3" spans="1:30" ht="11.25" customHeight="1" x14ac:dyDescent="0.3">
      <c r="A3" s="107"/>
      <c r="B3" s="107"/>
      <c r="C3" s="107"/>
      <c r="D3" s="107"/>
      <c r="E3" s="107"/>
      <c r="F3" s="107"/>
      <c r="G3" s="12" t="s">
        <v>73</v>
      </c>
      <c r="H3" s="12" t="s">
        <v>71</v>
      </c>
      <c r="I3" s="12">
        <f>SUMIF(Mercado_Receita!$S$2:$S$298,"44287A4AzulNão se aplicaNão se aplicaNão se aplicaNão se aplicaFora ponta",Mercado_Receita!$J$2:$J$298)+SUMIF(Mercado_Receita!$S$2:$S$298,"44287A4AzulNão se aplicaNão se aplicaAPENão se aplicaFora ponta",Mercado_Receita!$J$2:$J$298)</f>
        <v>0</v>
      </c>
      <c r="J3" s="12">
        <f>SUMIF(Mercado_Receita!$S$2:$S$298,"44317A4AzulNão se aplicaNão se aplicaNão se aplicaNão se aplicaFora ponta",Mercado_Receita!$J$2:$J$298)+SUMIF(Mercado_Receita!$S$2:$S$298,"44317A4AzulNão se aplicaNão se aplicaAPENão se aplicaFora ponta",Mercado_Receita!$J$2:$J$298)</f>
        <v>0</v>
      </c>
      <c r="K3" s="12">
        <f>SUMIF(Mercado_Receita!$S$2:$S$298,"44348A4AzulNão se aplicaNão se aplicaNão se aplicaNão se aplicaFora ponta",Mercado_Receita!$J$2:$J$298)+SUMIF(Mercado_Receita!$S$2:$S$298,"44348A4AzulNão se aplicaNão se aplicaAPENão se aplicaFora ponta",Mercado_Receita!$J$2:$J$298)</f>
        <v>0</v>
      </c>
      <c r="L3" s="12">
        <f>SUMIF(Mercado_Receita!$S$2:$S$298,"44378A4AzulNão se aplicaNão se aplicaNão se aplicaNão se aplicaFora ponta",Mercado_Receita!$J$2:$J$298)+SUMIF(Mercado_Receita!$S$2:$S$298,"44378A4AzulNão se aplicaNão se aplicaAPENão se aplicaFora ponta",Mercado_Receita!$J$2:$J$298)</f>
        <v>0</v>
      </c>
      <c r="M3" s="12">
        <f>SUMIF(Mercado_Receita!$S$2:$S$298,"44409A4AzulNão se aplicaNão se aplicaNão se aplicaNão se aplicaFora ponta",Mercado_Receita!$J$2:$J$298)+SUMIF(Mercado_Receita!$S$2:$S$298,"44409A4AzulNão se aplicaNão se aplicaAPENão se aplicaFora ponta",Mercado_Receita!$J$2:$J$298)</f>
        <v>0</v>
      </c>
      <c r="N3" s="12">
        <f>SUMIF(Mercado_Receita!$S$2:$S$298,"44440A4AzulNão se aplicaNão se aplicaNão se aplicaNão se aplicaFora ponta",Mercado_Receita!$J$2:$J$298)+SUMIF(Mercado_Receita!$S$2:$S$298,"44440A4AzulNão se aplicaNão se aplicaAPENão se aplicaFora ponta",Mercado_Receita!$J$2:$J$298)</f>
        <v>0</v>
      </c>
      <c r="O3" s="12">
        <f>SUMIF(Mercado_Receita!$S$2:$S$298,"44470A4AzulNão se aplicaNão se aplicaNão se aplicaNão se aplicaFora ponta",Mercado_Receita!$J$2:$J$298)+SUMIF(Mercado_Receita!$S$2:$S$298,"44470A4AzulNão se aplicaNão se aplicaAPENão se aplicaFora ponta",Mercado_Receita!$J$2:$J$298)</f>
        <v>0</v>
      </c>
      <c r="P3" s="12">
        <f>SUMIF(Mercado_Receita!$S$2:$S$298,"44501A4AzulNão se aplicaNão se aplicaNão se aplicaNão se aplicaFora ponta",Mercado_Receita!$J$2:$J$298)+SUMIF(Mercado_Receita!$S$2:$S$298,"44501A4AzulNão se aplicaNão se aplicaAPENão se aplicaFora ponta",Mercado_Receita!$J$2:$J$298)</f>
        <v>0</v>
      </c>
      <c r="Q3" s="12">
        <f>SUMIF(Mercado_Receita!$S$2:$S$298,"44531A4AzulNão se aplicaNão se aplicaNão se aplicaNão se aplicaFora ponta",Mercado_Receita!$J$2:$J$298)+SUMIF(Mercado_Receita!$S$2:$S$298,"44531A4AzulNão se aplicaNão se aplicaAPENão se aplicaFora ponta",Mercado_Receita!$J$2:$J$298)</f>
        <v>0</v>
      </c>
      <c r="R3" s="12">
        <f>SUMIF(Mercado_Receita!$S$2:$S$298,"44562A4AzulNão se aplicaNão se aplicaNão se aplicaNão se aplicaFora ponta",Mercado_Receita!$J$2:$J$298)+SUMIF(Mercado_Receita!$S$2:$S$298,"44562A4AzulNão se aplicaNão se aplicaAPENão se aplicaFora ponta",Mercado_Receita!$J$2:$J$298)</f>
        <v>0</v>
      </c>
      <c r="S3" s="12">
        <f>SUMIF(Mercado_Receita!$S$2:$S$298,"44593A4AzulNão se aplicaNão se aplicaNão se aplicaNão se aplicaFora ponta",Mercado_Receita!$J$2:$J$298)+SUMIF(Mercado_Receita!$S$2:$S$298,"44593A4AzulNão se aplicaNão se aplicaAPENão se aplicaFora ponta",Mercado_Receita!$J$2:$J$298)</f>
        <v>0</v>
      </c>
      <c r="T3" s="12">
        <f>SUMIF(Mercado_Receita!$S$2:$S$298,"44621A4AzulNão se aplicaNão se aplicaNão se aplicaNão se aplicaFora ponta",Mercado_Receita!$J$2:$J$298)+SUMIF(Mercado_Receita!$S$2:$S$298,"44621A4AzulNão se aplicaNão se aplicaAPENão se aplicaFora ponta",Mercado_Receita!$J$2:$J$298)</f>
        <v>0</v>
      </c>
      <c r="U3" s="12">
        <f t="shared" si="0"/>
        <v>0</v>
      </c>
      <c r="V3" s="12"/>
      <c r="W3" s="12"/>
    </row>
    <row r="4" spans="1:30" ht="11.25" customHeight="1" x14ac:dyDescent="0.3">
      <c r="A4" s="107"/>
      <c r="B4" s="107"/>
      <c r="C4" s="107"/>
      <c r="D4" s="107"/>
      <c r="E4" s="107"/>
      <c r="F4" s="107"/>
      <c r="G4" s="12" t="s">
        <v>74</v>
      </c>
      <c r="H4" s="12" t="s">
        <v>67</v>
      </c>
      <c r="I4" s="12">
        <f>SUMIF(Mercado_Receita!$S$2:$S$298,"44287A4AzulNão se aplicaNão se aplicaNão se aplicaNão se aplicaPonta",Mercado_Receita!$L$2:$L$298)+SUMIF(Mercado_Receita!$S$2:$S$298,"44287A4AzulNão se aplicaNão se aplicaNão se aplicaNão se aplicaFora ponta",Mercado_Receita!$L$2:$L$298)+SUMIF(Mercado_Receita!$S$2:$S$298,"44287A4AzulNão se aplicaNão se aplicaNão se aplicaNão se aplicaIntermediário",Mercado_Receita!$L$2:$L$298)+SUMIF(Mercado_Receita!$S$2:$S$298,"44287A4AzulNão se aplicaNão se aplicaNão se aplicaNão se aplicaNão se aplica",Mercado_Receita!$L$2:$L$298)</f>
        <v>0</v>
      </c>
      <c r="J4" s="12">
        <f>SUMIF(Mercado_Receita!$S$2:$S$298,"44317A4AzulNão se aplicaNão se aplicaNão se aplicaNão se aplicaPonta",Mercado_Receita!$L$2:$L$298)+SUMIF(Mercado_Receita!$S$2:$S$298,"44317A4AzulNão se aplicaNão se aplicaNão se aplicaNão se aplicaFora ponta",Mercado_Receita!$L$2:$L$298)+SUMIF(Mercado_Receita!$S$2:$S$298,"44317A4AzulNão se aplicaNão se aplicaNão se aplicaNão se aplicaIntermediário",Mercado_Receita!$L$2:$L$298)+SUMIF(Mercado_Receita!$S$2:$S$298,"44317A4AzulNão se aplicaNão se aplicaNão se aplicaNão se aplicaNão se aplica",Mercado_Receita!$L$2:$L$298)</f>
        <v>0</v>
      </c>
      <c r="K4" s="12">
        <f>SUMIF(Mercado_Receita!$S$2:$S$298,"44348A4AzulNão se aplicaNão se aplicaNão se aplicaNão se aplicaPonta",Mercado_Receita!$L$2:$L$298)+SUMIF(Mercado_Receita!$S$2:$S$298,"44348A4AzulNão se aplicaNão se aplicaNão se aplicaNão se aplicaFora ponta",Mercado_Receita!$L$2:$L$298)+SUMIF(Mercado_Receita!$S$2:$S$298,"44348A4AzulNão se aplicaNão se aplicaNão se aplicaNão se aplicaIntermediário",Mercado_Receita!$L$2:$L$298)+SUMIF(Mercado_Receita!$S$2:$S$298,"44348A4AzulNão se aplicaNão se aplicaNão se aplicaNão se aplicaNão se aplica",Mercado_Receita!$L$2:$L$298)</f>
        <v>0</v>
      </c>
      <c r="L4" s="12">
        <f>SUMIF(Mercado_Receita!$S$2:$S$298,"44378A4AzulNão se aplicaNão se aplicaNão se aplicaNão se aplicaPonta",Mercado_Receita!$L$2:$L$298)+SUMIF(Mercado_Receita!$S$2:$S$298,"44378A4AzulNão se aplicaNão se aplicaNão se aplicaNão se aplicaFora ponta",Mercado_Receita!$L$2:$L$298)+SUMIF(Mercado_Receita!$S$2:$S$298,"44378A4AzulNão se aplicaNão se aplicaNão se aplicaNão se aplicaIntermediário",Mercado_Receita!$L$2:$L$298)+SUMIF(Mercado_Receita!$S$2:$S$298,"44378A4AzulNão se aplicaNão se aplicaNão se aplicaNão se aplicaNão se aplica",Mercado_Receita!$L$2:$L$298)</f>
        <v>0</v>
      </c>
      <c r="M4" s="12">
        <f>SUMIF(Mercado_Receita!$S$2:$S$298,"44409A4AzulNão se aplicaNão se aplicaNão se aplicaNão se aplicaPonta",Mercado_Receita!$L$2:$L$298)+SUMIF(Mercado_Receita!$S$2:$S$298,"44409A4AzulNão se aplicaNão se aplicaNão se aplicaNão se aplicaFora ponta",Mercado_Receita!$L$2:$L$298)+SUMIF(Mercado_Receita!$S$2:$S$298,"44409A4AzulNão se aplicaNão se aplicaNão se aplicaNão se aplicaIntermediário",Mercado_Receita!$L$2:$L$298)+SUMIF(Mercado_Receita!$S$2:$S$298,"44409A4AzulNão se aplicaNão se aplicaNão se aplicaNão se aplicaNão se aplica",Mercado_Receita!$L$2:$L$298)</f>
        <v>0</v>
      </c>
      <c r="N4" s="12">
        <f>SUMIF(Mercado_Receita!$S$2:$S$298,"44440A4AzulNão se aplicaNão se aplicaNão se aplicaNão se aplicaPonta",Mercado_Receita!$L$2:$L$298)+SUMIF(Mercado_Receita!$S$2:$S$298,"44440A4AzulNão se aplicaNão se aplicaNão se aplicaNão se aplicaFora ponta",Mercado_Receita!$L$2:$L$298)+SUMIF(Mercado_Receita!$S$2:$S$298,"44440A4AzulNão se aplicaNão se aplicaNão se aplicaNão se aplicaIntermediário",Mercado_Receita!$L$2:$L$298)+SUMIF(Mercado_Receita!$S$2:$S$298,"44440A4AzulNão se aplicaNão se aplicaNão se aplicaNão se aplicaNão se aplica",Mercado_Receita!$L$2:$L$298)</f>
        <v>0</v>
      </c>
      <c r="O4" s="12">
        <f>SUMIF(Mercado_Receita!$S$2:$S$298,"44470A4AzulNão se aplicaNão se aplicaNão se aplicaNão se aplicaPonta",Mercado_Receita!$L$2:$L$298)+SUMIF(Mercado_Receita!$S$2:$S$298,"44470A4AzulNão se aplicaNão se aplicaNão se aplicaNão se aplicaFora ponta",Mercado_Receita!$L$2:$L$298)+SUMIF(Mercado_Receita!$S$2:$S$298,"44470A4AzulNão se aplicaNão se aplicaNão se aplicaNão se aplicaIntermediário",Mercado_Receita!$L$2:$L$298)+SUMIF(Mercado_Receita!$S$2:$S$298,"44470A4AzulNão se aplicaNão se aplicaNão se aplicaNão se aplicaNão se aplica",Mercado_Receita!$L$2:$L$298)</f>
        <v>0</v>
      </c>
      <c r="P4" s="12">
        <f>SUMIF(Mercado_Receita!$S$2:$S$298,"44501A4AzulNão se aplicaNão se aplicaNão se aplicaNão se aplicaPonta",Mercado_Receita!$L$2:$L$298)+SUMIF(Mercado_Receita!$S$2:$S$298,"44501A4AzulNão se aplicaNão se aplicaNão se aplicaNão se aplicaFora ponta",Mercado_Receita!$L$2:$L$298)+SUMIF(Mercado_Receita!$S$2:$S$298,"44501A4AzulNão se aplicaNão se aplicaNão se aplicaNão se aplicaIntermediário",Mercado_Receita!$L$2:$L$298)+SUMIF(Mercado_Receita!$S$2:$S$298,"44501A4AzulNão se aplicaNão se aplicaNão se aplicaNão se aplicaNão se aplica",Mercado_Receita!$L$2:$L$298)</f>
        <v>0</v>
      </c>
      <c r="Q4" s="12">
        <f>SUMIF(Mercado_Receita!$S$2:$S$298,"44531A4AzulNão se aplicaNão se aplicaNão se aplicaNão se aplicaPonta",Mercado_Receita!$L$2:$L$298)+SUMIF(Mercado_Receita!$S$2:$S$298,"44531A4AzulNão se aplicaNão se aplicaNão se aplicaNão se aplicaFora ponta",Mercado_Receita!$L$2:$L$298)+SUMIF(Mercado_Receita!$S$2:$S$298,"44531A4AzulNão se aplicaNão se aplicaNão se aplicaNão se aplicaIntermediário",Mercado_Receita!$L$2:$L$298)+SUMIF(Mercado_Receita!$S$2:$S$298,"44531A4AzulNão se aplicaNão se aplicaNão se aplicaNão se aplicaNão se aplica",Mercado_Receita!$L$2:$L$298)</f>
        <v>0</v>
      </c>
      <c r="R4" s="12">
        <f>SUMIF(Mercado_Receita!$S$2:$S$298,"44562A4AzulNão se aplicaNão se aplicaNão se aplicaNão se aplicaPonta",Mercado_Receita!$L$2:$L$298)+SUMIF(Mercado_Receita!$S$2:$S$298,"44562A4AzulNão se aplicaNão se aplicaNão se aplicaNão se aplicaFora ponta",Mercado_Receita!$L$2:$L$298)+SUMIF(Mercado_Receita!$S$2:$S$298,"44562A4AzulNão se aplicaNão se aplicaNão se aplicaNão se aplicaIntermediário",Mercado_Receita!$L$2:$L$298)+SUMIF(Mercado_Receita!$S$2:$S$298,"44562A4AzulNão se aplicaNão se aplicaNão se aplicaNão se aplicaNão se aplica",Mercado_Receita!$L$2:$L$298)</f>
        <v>0</v>
      </c>
      <c r="S4" s="12">
        <f>SUMIF(Mercado_Receita!$S$2:$S$298,"44593A4AzulNão se aplicaNão se aplicaNão se aplicaNão se aplicaPonta",Mercado_Receita!$L$2:$L$298)+SUMIF(Mercado_Receita!$S$2:$S$298,"44593A4AzulNão se aplicaNão se aplicaNão se aplicaNão se aplicaFora ponta",Mercado_Receita!$L$2:$L$298)+SUMIF(Mercado_Receita!$S$2:$S$298,"44593A4AzulNão se aplicaNão se aplicaNão se aplicaNão se aplicaIntermediário",Mercado_Receita!$L$2:$L$298)+SUMIF(Mercado_Receita!$S$2:$S$298,"44593A4AzulNão se aplicaNão se aplicaNão se aplicaNão se aplicaNão se aplica",Mercado_Receita!$L$2:$L$298)</f>
        <v>0</v>
      </c>
      <c r="T4" s="12">
        <f>SUMIF(Mercado_Receita!$S$2:$S$298,"44621A4AzulNão se aplicaNão se aplicaNão se aplicaNão se aplicaPonta",Mercado_Receita!$L$2:$L$298)+SUMIF(Mercado_Receita!$S$2:$S$298,"44621A4AzulNão se aplicaNão se aplicaNão se aplicaNão se aplicaFora ponta",Mercado_Receita!$L$2:$L$298)+SUMIF(Mercado_Receita!$S$2:$S$298,"44621A4AzulNão se aplicaNão se aplicaNão se aplicaNão se aplicaIntermediário",Mercado_Receita!$L$2:$L$298)+SUMIF(Mercado_Receita!$S$2:$S$298,"44621A4AzulNão se aplicaNão se aplicaNão se aplicaNão se aplicaNão se aplica",Mercado_Receita!$L$2:$L$298)</f>
        <v>0</v>
      </c>
      <c r="U4" s="12">
        <f t="shared" si="0"/>
        <v>0</v>
      </c>
      <c r="V4" s="12"/>
      <c r="W4" s="12"/>
    </row>
    <row r="5" spans="1:30" ht="11.25" customHeight="1" x14ac:dyDescent="0.3">
      <c r="A5" s="107"/>
      <c r="B5" s="107"/>
      <c r="C5" s="107"/>
      <c r="D5" s="107"/>
      <c r="E5" s="13" t="s">
        <v>75</v>
      </c>
      <c r="F5" s="13" t="s">
        <v>25</v>
      </c>
      <c r="G5" s="12" t="s">
        <v>74</v>
      </c>
      <c r="H5" s="12" t="s">
        <v>67</v>
      </c>
      <c r="I5" s="12">
        <f>SUMIF(Mercado_Receita!$S$2:$S$298,"44287A4AzulNão se aplicaNão se aplicaAPENão se aplicaPonta",Mercado_Receita!$L$2:$L$298)+SUMIF(Mercado_Receita!$S$2:$S$298,"44287A4AzulNão se aplicaNão se aplicaAPENão se aplicaFora ponta",Mercado_Receita!$L$2:$L$298)+SUMIF(Mercado_Receita!$S$2:$S$298,"44287A4AzulNão se aplicaNão se aplicaAPENão se aplicaIntermediário",Mercado_Receita!$L$2:$L$298)+SUMIF(Mercado_Receita!$S$2:$S$298,"44287A4AzulNão se aplicaNão se aplicaAPENão se aplicaNão se aplica",Mercado_Receita!$L$2:$L$298)</f>
        <v>0</v>
      </c>
      <c r="J5" s="12">
        <f>SUMIF(Mercado_Receita!$S$2:$S$298,"44317A4AzulNão se aplicaNão se aplicaAPENão se aplicaPonta",Mercado_Receita!$L$2:$L$298)+SUMIF(Mercado_Receita!$S$2:$S$298,"44317A4AzulNão se aplicaNão se aplicaAPENão se aplicaFora ponta",Mercado_Receita!$L$2:$L$298)+SUMIF(Mercado_Receita!$S$2:$S$298,"44317A4AzulNão se aplicaNão se aplicaAPENão se aplicaIntermediário",Mercado_Receita!$L$2:$L$298)+SUMIF(Mercado_Receita!$S$2:$S$298,"44317A4AzulNão se aplicaNão se aplicaAPENão se aplicaNão se aplica",Mercado_Receita!$L$2:$L$298)</f>
        <v>0</v>
      </c>
      <c r="K5" s="12">
        <f>SUMIF(Mercado_Receita!$S$2:$S$298,"44348A4AzulNão se aplicaNão se aplicaAPENão se aplicaPonta",Mercado_Receita!$L$2:$L$298)+SUMIF(Mercado_Receita!$S$2:$S$298,"44348A4AzulNão se aplicaNão se aplicaAPENão se aplicaFora ponta",Mercado_Receita!$L$2:$L$298)+SUMIF(Mercado_Receita!$S$2:$S$298,"44348A4AzulNão se aplicaNão se aplicaAPENão se aplicaIntermediário",Mercado_Receita!$L$2:$L$298)+SUMIF(Mercado_Receita!$S$2:$S$298,"44348A4AzulNão se aplicaNão se aplicaAPENão se aplicaNão se aplica",Mercado_Receita!$L$2:$L$298)</f>
        <v>0</v>
      </c>
      <c r="L5" s="12">
        <f>SUMIF(Mercado_Receita!$S$2:$S$298,"44378A4AzulNão se aplicaNão se aplicaAPENão se aplicaPonta",Mercado_Receita!$L$2:$L$298)+SUMIF(Mercado_Receita!$S$2:$S$298,"44378A4AzulNão se aplicaNão se aplicaAPENão se aplicaFora ponta",Mercado_Receita!$L$2:$L$298)+SUMIF(Mercado_Receita!$S$2:$S$298,"44378A4AzulNão se aplicaNão se aplicaAPENão se aplicaIntermediário",Mercado_Receita!$L$2:$L$298)+SUMIF(Mercado_Receita!$S$2:$S$298,"44378A4AzulNão se aplicaNão se aplicaAPENão se aplicaNão se aplica",Mercado_Receita!$L$2:$L$298)</f>
        <v>0</v>
      </c>
      <c r="M5" s="12">
        <f>SUMIF(Mercado_Receita!$S$2:$S$298,"44409A4AzulNão se aplicaNão se aplicaAPENão se aplicaPonta",Mercado_Receita!$L$2:$L$298)+SUMIF(Mercado_Receita!$S$2:$S$298,"44409A4AzulNão se aplicaNão se aplicaAPENão se aplicaFora ponta",Mercado_Receita!$L$2:$L$298)+SUMIF(Mercado_Receita!$S$2:$S$298,"44409A4AzulNão se aplicaNão se aplicaAPENão se aplicaIntermediário",Mercado_Receita!$L$2:$L$298)+SUMIF(Mercado_Receita!$S$2:$S$298,"44409A4AzulNão se aplicaNão se aplicaAPENão se aplicaNão se aplica",Mercado_Receita!$L$2:$L$298)</f>
        <v>0</v>
      </c>
      <c r="N5" s="12">
        <f>SUMIF(Mercado_Receita!$S$2:$S$298,"44440A4AzulNão se aplicaNão se aplicaAPENão se aplicaPonta",Mercado_Receita!$L$2:$L$298)+SUMIF(Mercado_Receita!$S$2:$S$298,"44440A4AzulNão se aplicaNão se aplicaAPENão se aplicaFora ponta",Mercado_Receita!$L$2:$L$298)+SUMIF(Mercado_Receita!$S$2:$S$298,"44440A4AzulNão se aplicaNão se aplicaAPENão se aplicaIntermediário",Mercado_Receita!$L$2:$L$298)+SUMIF(Mercado_Receita!$S$2:$S$298,"44440A4AzulNão se aplicaNão se aplicaAPENão se aplicaNão se aplica",Mercado_Receita!$L$2:$L$298)</f>
        <v>0</v>
      </c>
      <c r="O5" s="12">
        <f>SUMIF(Mercado_Receita!$S$2:$S$298,"44470A4AzulNão se aplicaNão se aplicaAPENão se aplicaPonta",Mercado_Receita!$L$2:$L$298)+SUMIF(Mercado_Receita!$S$2:$S$298,"44470A4AzulNão se aplicaNão se aplicaAPENão se aplicaFora ponta",Mercado_Receita!$L$2:$L$298)+SUMIF(Mercado_Receita!$S$2:$S$298,"44470A4AzulNão se aplicaNão se aplicaAPENão se aplicaIntermediário",Mercado_Receita!$L$2:$L$298)+SUMIF(Mercado_Receita!$S$2:$S$298,"44470A4AzulNão se aplicaNão se aplicaAPENão se aplicaNão se aplica",Mercado_Receita!$L$2:$L$298)</f>
        <v>0</v>
      </c>
      <c r="P5" s="12">
        <f>SUMIF(Mercado_Receita!$S$2:$S$298,"44501A4AzulNão se aplicaNão se aplicaAPENão se aplicaPonta",Mercado_Receita!$L$2:$L$298)+SUMIF(Mercado_Receita!$S$2:$S$298,"44501A4AzulNão se aplicaNão se aplicaAPENão se aplicaFora ponta",Mercado_Receita!$L$2:$L$298)+SUMIF(Mercado_Receita!$S$2:$S$298,"44501A4AzulNão se aplicaNão se aplicaAPENão se aplicaIntermediário",Mercado_Receita!$L$2:$L$298)+SUMIF(Mercado_Receita!$S$2:$S$298,"44501A4AzulNão se aplicaNão se aplicaAPENão se aplicaNão se aplica",Mercado_Receita!$L$2:$L$298)</f>
        <v>0</v>
      </c>
      <c r="Q5" s="12">
        <f>SUMIF(Mercado_Receita!$S$2:$S$298,"44531A4AzulNão se aplicaNão se aplicaAPENão se aplicaPonta",Mercado_Receita!$L$2:$L$298)+SUMIF(Mercado_Receita!$S$2:$S$298,"44531A4AzulNão se aplicaNão se aplicaAPENão se aplicaFora ponta",Mercado_Receita!$L$2:$L$298)+SUMIF(Mercado_Receita!$S$2:$S$298,"44531A4AzulNão se aplicaNão se aplicaAPENão se aplicaIntermediário",Mercado_Receita!$L$2:$L$298)+SUMIF(Mercado_Receita!$S$2:$S$298,"44531A4AzulNão se aplicaNão se aplicaAPENão se aplicaNão se aplica",Mercado_Receita!$L$2:$L$298)</f>
        <v>0</v>
      </c>
      <c r="R5" s="12">
        <f>SUMIF(Mercado_Receita!$S$2:$S$298,"44562A4AzulNão se aplicaNão se aplicaAPENão se aplicaPonta",Mercado_Receita!$L$2:$L$298)+SUMIF(Mercado_Receita!$S$2:$S$298,"44562A4AzulNão se aplicaNão se aplicaAPENão se aplicaFora ponta",Mercado_Receita!$L$2:$L$298)+SUMIF(Mercado_Receita!$S$2:$S$298,"44562A4AzulNão se aplicaNão se aplicaAPENão se aplicaIntermediário",Mercado_Receita!$L$2:$L$298)+SUMIF(Mercado_Receita!$S$2:$S$298,"44562A4AzulNão se aplicaNão se aplicaAPENão se aplicaNão se aplica",Mercado_Receita!$L$2:$L$298)</f>
        <v>0</v>
      </c>
      <c r="S5" s="12">
        <f>SUMIF(Mercado_Receita!$S$2:$S$298,"44593A4AzulNão se aplicaNão se aplicaAPENão se aplicaPonta",Mercado_Receita!$L$2:$L$298)+SUMIF(Mercado_Receita!$S$2:$S$298,"44593A4AzulNão se aplicaNão se aplicaAPENão se aplicaFora ponta",Mercado_Receita!$L$2:$L$298)+SUMIF(Mercado_Receita!$S$2:$S$298,"44593A4AzulNão se aplicaNão se aplicaAPENão se aplicaIntermediário",Mercado_Receita!$L$2:$L$298)+SUMIF(Mercado_Receita!$S$2:$S$298,"44593A4AzulNão se aplicaNão se aplicaAPENão se aplicaNão se aplica",Mercado_Receita!$L$2:$L$298)</f>
        <v>0</v>
      </c>
      <c r="T5" s="12">
        <f>SUMIF(Mercado_Receita!$S$2:$S$298,"44621A4AzulNão se aplicaNão se aplicaAPENão se aplicaPonta",Mercado_Receita!$L$2:$L$298)+SUMIF(Mercado_Receita!$S$2:$S$298,"44621A4AzulNão se aplicaNão se aplicaAPENão se aplicaFora ponta",Mercado_Receita!$L$2:$L$298)+SUMIF(Mercado_Receita!$S$2:$S$298,"44621A4AzulNão se aplicaNão se aplicaAPENão se aplicaIntermediário",Mercado_Receita!$L$2:$L$298)+SUMIF(Mercado_Receita!$S$2:$S$298,"44621A4AzulNão se aplicaNão se aplicaAPENão se aplicaNão se aplica",Mercado_Receita!$L$2:$L$298)</f>
        <v>0</v>
      </c>
      <c r="U5" s="12">
        <f t="shared" si="0"/>
        <v>0</v>
      </c>
      <c r="V5" s="12"/>
      <c r="W5" s="12"/>
    </row>
    <row r="6" spans="1:30" ht="11.25" customHeight="1" x14ac:dyDescent="0.3">
      <c r="A6" s="107"/>
      <c r="B6" s="13" t="s">
        <v>76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71</v>
      </c>
      <c r="I6" s="12">
        <f>SUMIF(Mercado_Receita!$S$2:$S$298,"44287A4GeraçãoNão se aplicaNão se aplicaNão se aplicaNão se aplicaNão se aplica",Mercado_Receita!$J$2:$J$298)+SUMIF(Mercado_Receita!$S$2:$S$298,"44287A4GeraçãoNão se aplicaNão se aplicaAPENão se aplicaNão se aplica",Mercado_Receita!$J$2:$J$298)</f>
        <v>0</v>
      </c>
      <c r="J6" s="12">
        <f>SUMIF(Mercado_Receita!$S$2:$S$298,"44317A4GeraçãoNão se aplicaNão se aplicaNão se aplicaNão se aplicaNão se aplica",Mercado_Receita!$J$2:$J$298)+SUMIF(Mercado_Receita!$S$2:$S$298,"44317A4GeraçãoNão se aplicaNão se aplicaAPENão se aplicaNão se aplica",Mercado_Receita!$J$2:$J$298)</f>
        <v>0</v>
      </c>
      <c r="K6" s="12">
        <f>SUMIF(Mercado_Receita!$S$2:$S$298,"44348A4GeraçãoNão se aplicaNão se aplicaNão se aplicaNão se aplicaNão se aplica",Mercado_Receita!$J$2:$J$298)+SUMIF(Mercado_Receita!$S$2:$S$298,"44348A4GeraçãoNão se aplicaNão se aplicaAPENão se aplicaNão se aplica",Mercado_Receita!$J$2:$J$298)</f>
        <v>0</v>
      </c>
      <c r="L6" s="12">
        <f>SUMIF(Mercado_Receita!$S$2:$S$298,"44378A4GeraçãoNão se aplicaNão se aplicaNão se aplicaNão se aplicaNão se aplica",Mercado_Receita!$J$2:$J$298)+SUMIF(Mercado_Receita!$S$2:$S$298,"44378A4GeraçãoNão se aplicaNão se aplicaAPENão se aplicaNão se aplica",Mercado_Receita!$J$2:$J$298)</f>
        <v>0</v>
      </c>
      <c r="M6" s="12">
        <f>SUMIF(Mercado_Receita!$S$2:$S$298,"44409A4GeraçãoNão se aplicaNão se aplicaNão se aplicaNão se aplicaNão se aplica",Mercado_Receita!$J$2:$J$298)+SUMIF(Mercado_Receita!$S$2:$S$298,"44409A4GeraçãoNão se aplicaNão se aplicaAPENão se aplicaNão se aplica",Mercado_Receita!$J$2:$J$298)</f>
        <v>0</v>
      </c>
      <c r="N6" s="12">
        <f>SUMIF(Mercado_Receita!$S$2:$S$298,"44440A4GeraçãoNão se aplicaNão se aplicaNão se aplicaNão se aplicaNão se aplica",Mercado_Receita!$J$2:$J$298)+SUMIF(Mercado_Receita!$S$2:$S$298,"44440A4GeraçãoNão se aplicaNão se aplicaAPENão se aplicaNão se aplica",Mercado_Receita!$J$2:$J$298)</f>
        <v>0</v>
      </c>
      <c r="O6" s="12">
        <f>SUMIF(Mercado_Receita!$S$2:$S$298,"44470A4GeraçãoNão se aplicaNão se aplicaNão se aplicaNão se aplicaNão se aplica",Mercado_Receita!$J$2:$J$298)+SUMIF(Mercado_Receita!$S$2:$S$298,"44470A4GeraçãoNão se aplicaNão se aplicaAPENão se aplicaNão se aplica",Mercado_Receita!$J$2:$J$298)</f>
        <v>0</v>
      </c>
      <c r="P6" s="12">
        <f>SUMIF(Mercado_Receita!$S$2:$S$298,"44501A4GeraçãoNão se aplicaNão se aplicaNão se aplicaNão se aplicaNão se aplica",Mercado_Receita!$J$2:$J$298)+SUMIF(Mercado_Receita!$S$2:$S$298,"44501A4GeraçãoNão se aplicaNão se aplicaAPENão se aplicaNão se aplica",Mercado_Receita!$J$2:$J$298)</f>
        <v>0</v>
      </c>
      <c r="Q6" s="12">
        <f>SUMIF(Mercado_Receita!$S$2:$S$298,"44531A4GeraçãoNão se aplicaNão se aplicaNão se aplicaNão se aplicaNão se aplica",Mercado_Receita!$J$2:$J$298)+SUMIF(Mercado_Receita!$S$2:$S$298,"44531A4GeraçãoNão se aplicaNão se aplicaAPENão se aplicaNão se aplica",Mercado_Receita!$J$2:$J$298)</f>
        <v>0</v>
      </c>
      <c r="R6" s="12">
        <f>SUMIF(Mercado_Receita!$S$2:$S$298,"44562A4GeraçãoNão se aplicaNão se aplicaNão se aplicaNão se aplicaNão se aplica",Mercado_Receita!$J$2:$J$298)+SUMIF(Mercado_Receita!$S$2:$S$298,"44562A4GeraçãoNão se aplicaNão se aplicaAPENão se aplicaNão se aplica",Mercado_Receita!$J$2:$J$298)</f>
        <v>0</v>
      </c>
      <c r="S6" s="12">
        <f>SUMIF(Mercado_Receita!$S$2:$S$298,"44593A4GeraçãoNão se aplicaNão se aplicaNão se aplicaNão se aplicaNão se aplica",Mercado_Receita!$J$2:$J$298)+SUMIF(Mercado_Receita!$S$2:$S$298,"44593A4GeraçãoNão se aplicaNão se aplicaAPENão se aplicaNão se aplica",Mercado_Receita!$J$2:$J$298)</f>
        <v>0</v>
      </c>
      <c r="T6" s="12">
        <f>SUMIF(Mercado_Receita!$S$2:$S$298,"44621A4GeraçãoNão se aplicaNão se aplicaNão se aplicaNão se aplicaNão se aplica",Mercado_Receita!$J$2:$J$298)+SUMIF(Mercado_Receita!$S$2:$S$298,"44621A4GeraçãoNão se aplicaNão se aplicaAPENão se aplicaNão se aplica",Mercado_Receita!$J$2:$J$298)</f>
        <v>0</v>
      </c>
      <c r="U6" s="12">
        <f t="shared" si="0"/>
        <v>0</v>
      </c>
      <c r="V6" s="12"/>
      <c r="W6" s="12"/>
    </row>
    <row r="7" spans="1:30" ht="11.25" customHeight="1" x14ac:dyDescent="0.3">
      <c r="A7" s="107"/>
      <c r="B7" s="106" t="s">
        <v>37</v>
      </c>
      <c r="C7" s="106" t="s">
        <v>25</v>
      </c>
      <c r="D7" s="106" t="s">
        <v>25</v>
      </c>
      <c r="E7" s="106" t="s">
        <v>25</v>
      </c>
      <c r="F7" s="106" t="s">
        <v>25</v>
      </c>
      <c r="G7" s="12" t="s">
        <v>9</v>
      </c>
      <c r="H7" s="12" t="s">
        <v>71</v>
      </c>
      <c r="I7" s="12">
        <f>SUMIF(Mercado_Receita!$S$2:$S$298,"44287A4VerdeNão se aplicaNão se aplicaNão se aplicaNão se aplicaNão se aplica",Mercado_Receita!$J$2:$J$298)+SUMIF(Mercado_Receita!$S$2:$S$298,"44287A4VerdeNão se aplicaNão se aplicaAPENão se aplicaNão se aplica",Mercado_Receita!$J$2:$J$298)</f>
        <v>1315</v>
      </c>
      <c r="J7" s="12">
        <f>SUMIF(Mercado_Receita!$S$2:$S$298,"44317A4VerdeNão se aplicaNão se aplicaNão se aplicaNão se aplicaNão se aplica",Mercado_Receita!$J$2:$J$298)+SUMIF(Mercado_Receita!$S$2:$S$298,"44317A4VerdeNão se aplicaNão se aplicaAPENão se aplicaNão se aplica",Mercado_Receita!$J$2:$J$298)</f>
        <v>1300</v>
      </c>
      <c r="K7" s="12">
        <f>SUMIF(Mercado_Receita!$S$2:$S$298,"44348A4VerdeNão se aplicaNão se aplicaNão se aplicaNão se aplicaNão se aplica",Mercado_Receita!$J$2:$J$298)+SUMIF(Mercado_Receita!$S$2:$S$298,"44348A4VerdeNão se aplicaNão se aplicaAPENão se aplicaNão se aplica",Mercado_Receita!$J$2:$J$298)</f>
        <v>1313</v>
      </c>
      <c r="L7" s="12">
        <f>SUMIF(Mercado_Receita!$S$2:$S$298,"44378A4VerdeNão se aplicaNão se aplicaNão se aplicaNão se aplicaNão se aplica",Mercado_Receita!$J$2:$J$298)+SUMIF(Mercado_Receita!$S$2:$S$298,"44378A4VerdeNão se aplicaNão se aplicaAPENão se aplicaNão se aplica",Mercado_Receita!$J$2:$J$298)</f>
        <v>1184</v>
      </c>
      <c r="M7" s="12">
        <f>SUMIF(Mercado_Receita!$S$2:$S$298,"44409A4VerdeNão se aplicaNão se aplicaNão se aplicaNão se aplicaNão se aplica",Mercado_Receita!$J$2:$J$298)+SUMIF(Mercado_Receita!$S$2:$S$298,"44409A4VerdeNão se aplicaNão se aplicaAPENão se aplicaNão se aplica",Mercado_Receita!$J$2:$J$298)</f>
        <v>1178</v>
      </c>
      <c r="N7" s="12">
        <f>SUMIF(Mercado_Receita!$S$2:$S$298,"44440A4VerdeNão se aplicaNão se aplicaNão se aplicaNão se aplicaNão se aplica",Mercado_Receita!$J$2:$J$298)+SUMIF(Mercado_Receita!$S$2:$S$298,"44440A4VerdeNão se aplicaNão se aplicaAPENão se aplicaNão se aplica",Mercado_Receita!$J$2:$J$298)</f>
        <v>1208</v>
      </c>
      <c r="O7" s="12">
        <f>SUMIF(Mercado_Receita!$S$2:$S$298,"44470A4VerdeNão se aplicaNão se aplicaNão se aplicaNão se aplicaNão se aplica",Mercado_Receita!$J$2:$J$298)+SUMIF(Mercado_Receita!$S$2:$S$298,"44470A4VerdeNão se aplicaNão se aplicaAPENão se aplicaNão se aplica",Mercado_Receita!$J$2:$J$298)</f>
        <v>1197</v>
      </c>
      <c r="P7" s="12">
        <f>SUMIF(Mercado_Receita!$S$2:$S$298,"44501A4VerdeNão se aplicaNão se aplicaNão se aplicaNão se aplicaNão se aplica",Mercado_Receita!$J$2:$J$298)+SUMIF(Mercado_Receita!$S$2:$S$298,"44501A4VerdeNão se aplicaNão se aplicaAPENão se aplicaNão se aplica",Mercado_Receita!$J$2:$J$298)</f>
        <v>1244</v>
      </c>
      <c r="Q7" s="12">
        <f>SUMIF(Mercado_Receita!$S$2:$S$298,"44531A4VerdeNão se aplicaNão se aplicaNão se aplicaNão se aplicaNão se aplica",Mercado_Receita!$J$2:$J$298)+SUMIF(Mercado_Receita!$S$2:$S$298,"44531A4VerdeNão se aplicaNão se aplicaAPENão se aplicaNão se aplica",Mercado_Receita!$J$2:$J$298)</f>
        <v>1228</v>
      </c>
      <c r="R7" s="12">
        <f>SUMIF(Mercado_Receita!$S$2:$S$298,"44562A4VerdeNão se aplicaNão se aplicaNão se aplicaNão se aplicaNão se aplica",Mercado_Receita!$J$2:$J$298)+SUMIF(Mercado_Receita!$S$2:$S$298,"44562A4VerdeNão se aplicaNão se aplicaAPENão se aplicaNão se aplica",Mercado_Receita!$J$2:$J$298)</f>
        <v>1277</v>
      </c>
      <c r="S7" s="12">
        <f>SUMIF(Mercado_Receita!$S$2:$S$298,"44593A4VerdeNão se aplicaNão se aplicaNão se aplicaNão se aplicaNão se aplica",Mercado_Receita!$J$2:$J$298)+SUMIF(Mercado_Receita!$S$2:$S$298,"44593A4VerdeNão se aplicaNão se aplicaAPENão se aplicaNão se aplica",Mercado_Receita!$J$2:$J$298)</f>
        <v>1327</v>
      </c>
      <c r="T7" s="12">
        <f>SUMIF(Mercado_Receita!$S$2:$S$298,"44621A4VerdeNão se aplicaNão se aplicaNão se aplicaNão se aplicaNão se aplica",Mercado_Receita!$J$2:$J$298)+SUMIF(Mercado_Receita!$S$2:$S$298,"44621A4VerdeNão se aplicaNão se aplicaAPENão se aplicaNão se aplica",Mercado_Receita!$J$2:$J$298)</f>
        <v>1347</v>
      </c>
      <c r="U7" s="12">
        <f t="shared" si="0"/>
        <v>15118</v>
      </c>
      <c r="V7" s="12"/>
      <c r="W7" s="12"/>
    </row>
    <row r="8" spans="1:30" ht="11.25" customHeight="1" x14ac:dyDescent="0.3">
      <c r="A8" s="107"/>
      <c r="B8" s="107"/>
      <c r="C8" s="107"/>
      <c r="D8" s="107"/>
      <c r="E8" s="107"/>
      <c r="F8" s="107"/>
      <c r="G8" s="12" t="s">
        <v>68</v>
      </c>
      <c r="H8" s="12" t="s">
        <v>67</v>
      </c>
      <c r="I8" s="12">
        <f>SUMIF(Mercado_Receita!$S$2:$S$298,"44287A4VerdeNão se aplicaNão se aplicaNão se aplicaNão se aplicaPonta",Mercado_Receita!$L$2:$L$298)</f>
        <v>10.566000000000001</v>
      </c>
      <c r="J8" s="12">
        <f>SUMIF(Mercado_Receita!$S$2:$S$298,"44317A4VerdeNão se aplicaNão se aplicaNão se aplicaNão se aplicaPonta",Mercado_Receita!$L$2:$L$298)</f>
        <v>10.232999999999999</v>
      </c>
      <c r="K8" s="12">
        <f>SUMIF(Mercado_Receita!$S$2:$S$298,"44348A4VerdeNão se aplicaNão se aplicaNão se aplicaNão se aplicaPonta",Mercado_Receita!$L$2:$L$298)</f>
        <v>10.54</v>
      </c>
      <c r="L8" s="12">
        <f>SUMIF(Mercado_Receita!$S$2:$S$298,"44378A4VerdeNão se aplicaNão se aplicaNão se aplicaNão se aplicaPonta",Mercado_Receita!$L$2:$L$298)</f>
        <v>13.474</v>
      </c>
      <c r="M8" s="12">
        <f>SUMIF(Mercado_Receita!$S$2:$S$298,"44409A4VerdeNão se aplicaNão se aplicaNão se aplicaNão se aplicaPonta",Mercado_Receita!$L$2:$L$298)</f>
        <v>11.988</v>
      </c>
      <c r="N8" s="12">
        <f>SUMIF(Mercado_Receita!$S$2:$S$298,"44440A4VerdeNão se aplicaNão se aplicaNão se aplicaNão se aplicaPonta",Mercado_Receita!$L$2:$L$298)</f>
        <v>12.267000000000001</v>
      </c>
      <c r="O8" s="12">
        <f>SUMIF(Mercado_Receita!$S$2:$S$298,"44470A4VerdeNão se aplicaNão se aplicaNão se aplicaNão se aplicaPonta",Mercado_Receita!$L$2:$L$298)</f>
        <v>11.301</v>
      </c>
      <c r="P8" s="12">
        <f>SUMIF(Mercado_Receita!$S$2:$S$298,"44501A4VerdeNão se aplicaNão se aplicaNão se aplicaNão se aplicaPonta",Mercado_Receita!$L$2:$L$298)</f>
        <v>12.877000000000001</v>
      </c>
      <c r="Q8" s="12">
        <f>SUMIF(Mercado_Receita!$S$2:$S$298,"44531A4VerdeNão se aplicaNão se aplicaNão se aplicaNão se aplicaPonta",Mercado_Receita!$L$2:$L$298)</f>
        <v>15.531000000000001</v>
      </c>
      <c r="R8" s="12">
        <f>SUMIF(Mercado_Receita!$S$2:$S$298,"44562A4VerdeNão se aplicaNão se aplicaNão se aplicaNão se aplicaPonta",Mercado_Receita!$L$2:$L$298)</f>
        <v>15.116</v>
      </c>
      <c r="S8" s="12">
        <f>SUMIF(Mercado_Receita!$S$2:$S$298,"44593A4VerdeNão se aplicaNão se aplicaNão se aplicaNão se aplicaPonta",Mercado_Receita!$L$2:$L$298)</f>
        <v>11.265000000000001</v>
      </c>
      <c r="T8" s="12">
        <f>SUMIF(Mercado_Receita!$S$2:$S$298,"44621A4VerdeNão se aplicaNão se aplicaNão se aplicaNão se aplicaPonta",Mercado_Receita!$L$2:$L$298)</f>
        <v>14.794</v>
      </c>
      <c r="U8" s="12">
        <f t="shared" si="0"/>
        <v>149.95200000000003</v>
      </c>
      <c r="V8" s="12"/>
      <c r="W8" s="12"/>
    </row>
    <row r="9" spans="1:30" ht="11.25" customHeight="1" x14ac:dyDescent="0.3">
      <c r="A9" s="107"/>
      <c r="B9" s="107"/>
      <c r="C9" s="107"/>
      <c r="D9" s="107"/>
      <c r="E9" s="107"/>
      <c r="F9" s="107"/>
      <c r="G9" s="12" t="s">
        <v>69</v>
      </c>
      <c r="H9" s="12" t="s">
        <v>67</v>
      </c>
      <c r="I9" s="12">
        <f>SUMIF(Mercado_Receita!$S$2:$S$298,"44287A4VerdeNão se aplicaNão se aplicaNão se aplicaNão se aplicaFora ponta",Mercado_Receita!$L$2:$L$298)</f>
        <v>188.59299999999999</v>
      </c>
      <c r="J9" s="12">
        <f>SUMIF(Mercado_Receita!$S$2:$S$298,"44317A4VerdeNão se aplicaNão se aplicaNão se aplicaNão se aplicaFora ponta",Mercado_Receita!$L$2:$L$298)</f>
        <v>186.00700000000001</v>
      </c>
      <c r="K9" s="12">
        <f>SUMIF(Mercado_Receita!$S$2:$S$298,"44348A4VerdeNão se aplicaNão se aplicaNão se aplicaNão se aplicaFora ponta",Mercado_Receita!$L$2:$L$298)</f>
        <v>180.72299999999998</v>
      </c>
      <c r="L9" s="12">
        <f>SUMIF(Mercado_Receita!$S$2:$S$298,"44378A4VerdeNão se aplicaNão se aplicaNão se aplicaNão se aplicaFora ponta",Mercado_Receita!$L$2:$L$298)</f>
        <v>201.95400000000001</v>
      </c>
      <c r="M9" s="12">
        <f>SUMIF(Mercado_Receita!$S$2:$S$298,"44409A4VerdeNão se aplicaNão se aplicaNão se aplicaNão se aplicaFora ponta",Mercado_Receita!$L$2:$L$298)</f>
        <v>186.32999999999998</v>
      </c>
      <c r="N9" s="12">
        <f>SUMIF(Mercado_Receita!$S$2:$S$298,"44440A4VerdeNão se aplicaNão se aplicaNão se aplicaNão se aplicaFora ponta",Mercado_Receita!$L$2:$L$298)</f>
        <v>202.042</v>
      </c>
      <c r="O9" s="12">
        <f>SUMIF(Mercado_Receita!$S$2:$S$298,"44470A4VerdeNão se aplicaNão se aplicaNão se aplicaNão se aplicaFora ponta",Mercado_Receita!$L$2:$L$298)</f>
        <v>211.17099999999999</v>
      </c>
      <c r="P9" s="12">
        <f>SUMIF(Mercado_Receita!$S$2:$S$298,"44501A4VerdeNão se aplicaNão se aplicaNão se aplicaNão se aplicaFora ponta",Mercado_Receita!$L$2:$L$298)</f>
        <v>216.27200000000002</v>
      </c>
      <c r="Q9" s="12">
        <f>SUMIF(Mercado_Receita!$S$2:$S$298,"44531A4VerdeNão se aplicaNão se aplicaNão se aplicaNão se aplicaFora ponta",Mercado_Receita!$L$2:$L$298)</f>
        <v>244.20299999999997</v>
      </c>
      <c r="R9" s="12">
        <f>SUMIF(Mercado_Receita!$S$2:$S$298,"44562A4VerdeNão se aplicaNão se aplicaNão se aplicaNão se aplicaFora ponta",Mercado_Receita!$L$2:$L$298)</f>
        <v>268.12599999999998</v>
      </c>
      <c r="S9" s="12">
        <f>SUMIF(Mercado_Receita!$S$2:$S$298,"44593A4VerdeNão se aplicaNão se aplicaNão se aplicaNão se aplicaFora ponta",Mercado_Receita!$L$2:$L$298)</f>
        <v>213.53700000000001</v>
      </c>
      <c r="T9" s="12">
        <f>SUMIF(Mercado_Receita!$S$2:$S$298,"44621A4VerdeNão se aplicaNão se aplicaNão se aplicaNão se aplicaFora ponta",Mercado_Receita!$L$2:$L$298)</f>
        <v>237.84200000000001</v>
      </c>
      <c r="U9" s="12">
        <f t="shared" si="0"/>
        <v>2536.7999999999997</v>
      </c>
      <c r="V9" s="12"/>
      <c r="W9" s="12"/>
    </row>
    <row r="10" spans="1:30" ht="11.25" customHeight="1" x14ac:dyDescent="0.3">
      <c r="A10" s="107"/>
      <c r="B10" s="107"/>
      <c r="C10" s="107"/>
      <c r="D10" s="107"/>
      <c r="E10" s="106" t="s">
        <v>75</v>
      </c>
      <c r="F10" s="106" t="s">
        <v>25</v>
      </c>
      <c r="G10" s="12" t="s">
        <v>68</v>
      </c>
      <c r="H10" s="12" t="s">
        <v>67</v>
      </c>
      <c r="I10" s="12">
        <f>SUMIF(Mercado_Receita!$S$2:$S$298,"44287A4VerdeNão se aplicaNão se aplicaAPENão se aplicaPonta",Mercado_Receita!$L$2:$L$298)</f>
        <v>0</v>
      </c>
      <c r="J10" s="12">
        <f>SUMIF(Mercado_Receita!$S$2:$S$298,"44317A4VerdeNão se aplicaNão se aplicaAPENão se aplicaPonta",Mercado_Receita!$L$2:$L$298)</f>
        <v>0</v>
      </c>
      <c r="K10" s="12">
        <f>SUMIF(Mercado_Receita!$S$2:$S$298,"44348A4VerdeNão se aplicaNão se aplicaAPENão se aplicaPonta",Mercado_Receita!$L$2:$L$298)</f>
        <v>0</v>
      </c>
      <c r="L10" s="12">
        <f>SUMIF(Mercado_Receita!$S$2:$S$298,"44378A4VerdeNão se aplicaNão se aplicaAPENão se aplicaPonta",Mercado_Receita!$L$2:$L$298)</f>
        <v>0</v>
      </c>
      <c r="M10" s="12">
        <f>SUMIF(Mercado_Receita!$S$2:$S$298,"44409A4VerdeNão se aplicaNão se aplicaAPENão se aplicaPonta",Mercado_Receita!$L$2:$L$298)</f>
        <v>0</v>
      </c>
      <c r="N10" s="12">
        <f>SUMIF(Mercado_Receita!$S$2:$S$298,"44440A4VerdeNão se aplicaNão se aplicaAPENão se aplicaPonta",Mercado_Receita!$L$2:$L$298)</f>
        <v>0</v>
      </c>
      <c r="O10" s="12">
        <f>SUMIF(Mercado_Receita!$S$2:$S$298,"44470A4VerdeNão se aplicaNão se aplicaAPENão se aplicaPonta",Mercado_Receita!$L$2:$L$298)</f>
        <v>0</v>
      </c>
      <c r="P10" s="12">
        <f>SUMIF(Mercado_Receita!$S$2:$S$298,"44501A4VerdeNão se aplicaNão se aplicaAPENão se aplicaPonta",Mercado_Receita!$L$2:$L$298)</f>
        <v>0</v>
      </c>
      <c r="Q10" s="12">
        <f>SUMIF(Mercado_Receita!$S$2:$S$298,"44531A4VerdeNão se aplicaNão se aplicaAPENão se aplicaPonta",Mercado_Receita!$L$2:$L$298)</f>
        <v>0</v>
      </c>
      <c r="R10" s="12">
        <f>SUMIF(Mercado_Receita!$S$2:$S$298,"44562A4VerdeNão se aplicaNão se aplicaAPENão se aplicaPonta",Mercado_Receita!$L$2:$L$298)</f>
        <v>0</v>
      </c>
      <c r="S10" s="12">
        <f>SUMIF(Mercado_Receita!$S$2:$S$298,"44593A4VerdeNão se aplicaNão se aplicaAPENão se aplicaPonta",Mercado_Receita!$L$2:$L$298)</f>
        <v>0</v>
      </c>
      <c r="T10" s="12">
        <f>SUMIF(Mercado_Receita!$S$2:$S$298,"44621A4VerdeNão se aplicaNão se aplicaAPENão se aplicaPonta",Mercado_Receita!$L$2:$L$298)</f>
        <v>0</v>
      </c>
      <c r="U10" s="12">
        <f t="shared" si="0"/>
        <v>0</v>
      </c>
      <c r="V10" s="12"/>
      <c r="W10" s="12"/>
    </row>
    <row r="11" spans="1:30" ht="11.25" customHeight="1" x14ac:dyDescent="0.3">
      <c r="A11" s="107"/>
      <c r="B11" s="107"/>
      <c r="C11" s="107"/>
      <c r="D11" s="107"/>
      <c r="E11" s="107"/>
      <c r="F11" s="107"/>
      <c r="G11" s="12" t="s">
        <v>69</v>
      </c>
      <c r="H11" s="12" t="s">
        <v>67</v>
      </c>
      <c r="I11" s="12">
        <f>SUMIF(Mercado_Receita!$S$2:$S$298,"44287A4VerdeNão se aplicaNão se aplicaAPENão se aplicaFora ponta",Mercado_Receita!$L$2:$L$298)</f>
        <v>0</v>
      </c>
      <c r="J11" s="12">
        <f>SUMIF(Mercado_Receita!$S$2:$S$298,"44317A4VerdeNão se aplicaNão se aplicaAPENão se aplicaFora ponta",Mercado_Receita!$L$2:$L$298)</f>
        <v>0</v>
      </c>
      <c r="K11" s="12">
        <f>SUMIF(Mercado_Receita!$S$2:$S$298,"44348A4VerdeNão se aplicaNão se aplicaAPENão se aplicaFora ponta",Mercado_Receita!$L$2:$L$298)</f>
        <v>0</v>
      </c>
      <c r="L11" s="12">
        <f>SUMIF(Mercado_Receita!$S$2:$S$298,"44378A4VerdeNão se aplicaNão se aplicaAPENão se aplicaFora ponta",Mercado_Receita!$L$2:$L$298)</f>
        <v>0</v>
      </c>
      <c r="M11" s="12">
        <f>SUMIF(Mercado_Receita!$S$2:$S$298,"44409A4VerdeNão se aplicaNão se aplicaAPENão se aplicaFora ponta",Mercado_Receita!$L$2:$L$298)</f>
        <v>0</v>
      </c>
      <c r="N11" s="12">
        <f>SUMIF(Mercado_Receita!$S$2:$S$298,"44440A4VerdeNão se aplicaNão se aplicaAPENão se aplicaFora ponta",Mercado_Receita!$L$2:$L$298)</f>
        <v>0</v>
      </c>
      <c r="O11" s="12">
        <f>SUMIF(Mercado_Receita!$S$2:$S$298,"44470A4VerdeNão se aplicaNão se aplicaAPENão se aplicaFora ponta",Mercado_Receita!$L$2:$L$298)</f>
        <v>0</v>
      </c>
      <c r="P11" s="12">
        <f>SUMIF(Mercado_Receita!$S$2:$S$298,"44501A4VerdeNão se aplicaNão se aplicaAPENão se aplicaFora ponta",Mercado_Receita!$L$2:$L$298)</f>
        <v>0</v>
      </c>
      <c r="Q11" s="12">
        <f>SUMIF(Mercado_Receita!$S$2:$S$298,"44531A4VerdeNão se aplicaNão se aplicaAPENão se aplicaFora ponta",Mercado_Receita!$L$2:$L$298)</f>
        <v>0</v>
      </c>
      <c r="R11" s="12">
        <f>SUMIF(Mercado_Receita!$S$2:$S$298,"44562A4VerdeNão se aplicaNão se aplicaAPENão se aplicaFora ponta",Mercado_Receita!$L$2:$L$298)</f>
        <v>0</v>
      </c>
      <c r="S11" s="12">
        <f>SUMIF(Mercado_Receita!$S$2:$S$298,"44593A4VerdeNão se aplicaNão se aplicaAPENão se aplicaFora ponta",Mercado_Receita!$L$2:$L$298)</f>
        <v>0</v>
      </c>
      <c r="T11" s="12">
        <f>SUMIF(Mercado_Receita!$S$2:$S$298,"44621A4VerdeNão se aplicaNão se aplicaAPENão se aplicaFora ponta",Mercado_Receita!$L$2:$L$298)</f>
        <v>0</v>
      </c>
      <c r="U11" s="12">
        <f t="shared" si="0"/>
        <v>0</v>
      </c>
      <c r="V11" s="12"/>
      <c r="W11" s="12"/>
    </row>
    <row r="12" spans="1:30" ht="11.25" customHeight="1" x14ac:dyDescent="0.3">
      <c r="A12" s="106" t="s">
        <v>77</v>
      </c>
      <c r="B12" s="106" t="s">
        <v>76</v>
      </c>
      <c r="C12" s="106" t="s">
        <v>25</v>
      </c>
      <c r="D12" s="106" t="s">
        <v>25</v>
      </c>
      <c r="E12" s="13" t="s">
        <v>78</v>
      </c>
      <c r="F12" s="13" t="s">
        <v>25</v>
      </c>
      <c r="G12" s="12" t="s">
        <v>9</v>
      </c>
      <c r="H12" s="12" t="s">
        <v>71</v>
      </c>
      <c r="I12" s="12">
        <f>SUMIF(Mercado_Receita!$S$2:$S$298,"44287BGeraçãoNão se aplicaNão se aplicaTIPO 01Não se aplicaNão se aplica",Mercado_Receita!$J$2:$J$298)+SUMIF(Mercado_Receita!$S$2:$S$298,"44287BGeraçãoNão se aplicaNão se aplicaAPENão se aplicaNão se aplica",Mercado_Receita!$J$2:$J$298)</f>
        <v>0</v>
      </c>
      <c r="J12" s="12">
        <f>SUMIF(Mercado_Receita!$S$2:$S$298,"44317BGeraçãoNão se aplicaNão se aplicaTIPO 01Não se aplicaNão se aplica",Mercado_Receita!$J$2:$J$298)+SUMIF(Mercado_Receita!$S$2:$S$298,"44317BGeraçãoNão se aplicaNão se aplicaAPENão se aplicaNão se aplica",Mercado_Receita!$J$2:$J$298)</f>
        <v>0</v>
      </c>
      <c r="K12" s="12">
        <f>SUMIF(Mercado_Receita!$S$2:$S$298,"44348BGeraçãoNão se aplicaNão se aplicaTIPO 01Não se aplicaNão se aplica",Mercado_Receita!$J$2:$J$298)+SUMIF(Mercado_Receita!$S$2:$S$298,"44348BGeraçãoNão se aplicaNão se aplicaAPENão se aplicaNão se aplica",Mercado_Receita!$J$2:$J$298)</f>
        <v>0</v>
      </c>
      <c r="L12" s="12">
        <f>SUMIF(Mercado_Receita!$S$2:$S$298,"44378BGeraçãoNão se aplicaNão se aplicaTIPO 01Não se aplicaNão se aplica",Mercado_Receita!$J$2:$J$298)+SUMIF(Mercado_Receita!$S$2:$S$298,"44378BGeraçãoNão se aplicaNão se aplicaAPENão se aplicaNão se aplica",Mercado_Receita!$J$2:$J$298)</f>
        <v>0</v>
      </c>
      <c r="M12" s="12">
        <f>SUMIF(Mercado_Receita!$S$2:$S$298,"44409BGeraçãoNão se aplicaNão se aplicaTIPO 01Não se aplicaNão se aplica",Mercado_Receita!$J$2:$J$298)+SUMIF(Mercado_Receita!$S$2:$S$298,"44409BGeraçãoNão se aplicaNão se aplicaAPENão se aplicaNão se aplica",Mercado_Receita!$J$2:$J$298)</f>
        <v>0</v>
      </c>
      <c r="N12" s="12">
        <f>SUMIF(Mercado_Receita!$S$2:$S$298,"44440BGeraçãoNão se aplicaNão se aplicaTIPO 01Não se aplicaNão se aplica",Mercado_Receita!$J$2:$J$298)+SUMIF(Mercado_Receita!$S$2:$S$298,"44440BGeraçãoNão se aplicaNão se aplicaAPENão se aplicaNão se aplica",Mercado_Receita!$J$2:$J$298)</f>
        <v>0</v>
      </c>
      <c r="O12" s="12">
        <f>SUMIF(Mercado_Receita!$S$2:$S$298,"44470BGeraçãoNão se aplicaNão se aplicaTIPO 01Não se aplicaNão se aplica",Mercado_Receita!$J$2:$J$298)+SUMIF(Mercado_Receita!$S$2:$S$298,"44470BGeraçãoNão se aplicaNão se aplicaAPENão se aplicaNão se aplica",Mercado_Receita!$J$2:$J$298)</f>
        <v>0</v>
      </c>
      <c r="P12" s="12">
        <f>SUMIF(Mercado_Receita!$S$2:$S$298,"44501BGeraçãoNão se aplicaNão se aplicaTIPO 01Não se aplicaNão se aplica",Mercado_Receita!$J$2:$J$298)+SUMIF(Mercado_Receita!$S$2:$S$298,"44501BGeraçãoNão se aplicaNão se aplicaAPENão se aplicaNão se aplica",Mercado_Receita!$J$2:$J$298)</f>
        <v>0</v>
      </c>
      <c r="Q12" s="12">
        <f>SUMIF(Mercado_Receita!$S$2:$S$298,"44531BGeraçãoNão se aplicaNão se aplicaTIPO 01Não se aplicaNão se aplica",Mercado_Receita!$J$2:$J$298)+SUMIF(Mercado_Receita!$S$2:$S$298,"44531BGeraçãoNão se aplicaNão se aplicaAPENão se aplicaNão se aplica",Mercado_Receita!$J$2:$J$298)</f>
        <v>0</v>
      </c>
      <c r="R12" s="12">
        <f>SUMIF(Mercado_Receita!$S$2:$S$298,"44562BGeraçãoNão se aplicaNão se aplicaTIPO 01Não se aplicaNão se aplica",Mercado_Receita!$J$2:$J$298)+SUMIF(Mercado_Receita!$S$2:$S$298,"44562BGeraçãoNão se aplicaNão se aplicaAPENão se aplicaNão se aplica",Mercado_Receita!$J$2:$J$298)</f>
        <v>0</v>
      </c>
      <c r="S12" s="12">
        <f>SUMIF(Mercado_Receita!$S$2:$S$298,"44593BGeraçãoNão se aplicaNão se aplicaTIPO 01Não se aplicaNão se aplica",Mercado_Receita!$J$2:$J$298)+SUMIF(Mercado_Receita!$S$2:$S$298,"44593BGeraçãoNão se aplicaNão se aplicaAPENão se aplicaNão se aplica",Mercado_Receita!$J$2:$J$298)</f>
        <v>0</v>
      </c>
      <c r="T12" s="12">
        <f>SUMIF(Mercado_Receita!$S$2:$S$298,"44621BGeraçãoNão se aplicaNão se aplicaTIPO 01Não se aplicaNão se aplica",Mercado_Receita!$J$2:$J$298)+SUMIF(Mercado_Receita!$S$2:$S$298,"44621BGeraçãoNão se aplicaNão se aplicaAPENão se aplicaNão se aplica",Mercado_Receita!$J$2:$J$298)</f>
        <v>0</v>
      </c>
      <c r="U12" s="12">
        <f t="shared" si="0"/>
        <v>0</v>
      </c>
      <c r="V12" s="12"/>
      <c r="W12" s="12"/>
    </row>
    <row r="13" spans="1:30" ht="11.25" customHeight="1" x14ac:dyDescent="0.3">
      <c r="A13" s="107"/>
      <c r="B13" s="107"/>
      <c r="C13" s="107"/>
      <c r="D13" s="107"/>
      <c r="E13" s="13" t="s">
        <v>79</v>
      </c>
      <c r="F13" s="13" t="s">
        <v>25</v>
      </c>
      <c r="G13" s="12" t="s">
        <v>9</v>
      </c>
      <c r="H13" s="12" t="s">
        <v>71</v>
      </c>
      <c r="I13" s="12">
        <f>SUMIF(Mercado_Receita!$S$2:$S$298,"44287BGeraçãoNão se aplicaNão se aplicaTIPO 02Não se aplicaNão se aplica",Mercado_Receita!$J$2:$J$298)+SUMIF(Mercado_Receita!$S$2:$S$298,"44287BGeraçãoNão se aplicaNão se aplicaAPENão se aplicaNão se aplica",Mercado_Receita!$J$2:$J$298)</f>
        <v>0</v>
      </c>
      <c r="J13" s="12">
        <f>SUMIF(Mercado_Receita!$S$2:$S$298,"44317BGeraçãoNão se aplicaNão se aplicaTIPO 02Não se aplicaNão se aplica",Mercado_Receita!$J$2:$J$298)+SUMIF(Mercado_Receita!$S$2:$S$298,"44317BGeraçãoNão se aplicaNão se aplicaAPENão se aplicaNão se aplica",Mercado_Receita!$J$2:$J$298)</f>
        <v>0</v>
      </c>
      <c r="K13" s="12">
        <f>SUMIF(Mercado_Receita!$S$2:$S$298,"44348BGeraçãoNão se aplicaNão se aplicaTIPO 02Não se aplicaNão se aplica",Mercado_Receita!$J$2:$J$298)+SUMIF(Mercado_Receita!$S$2:$S$298,"44348BGeraçãoNão se aplicaNão se aplicaAPENão se aplicaNão se aplica",Mercado_Receita!$J$2:$J$298)</f>
        <v>0</v>
      </c>
      <c r="L13" s="12">
        <f>SUMIF(Mercado_Receita!$S$2:$S$298,"44378BGeraçãoNão se aplicaNão se aplicaTIPO 02Não se aplicaNão se aplica",Mercado_Receita!$J$2:$J$298)+SUMIF(Mercado_Receita!$S$2:$S$298,"44378BGeraçãoNão se aplicaNão se aplicaAPENão se aplicaNão se aplica",Mercado_Receita!$J$2:$J$298)</f>
        <v>0</v>
      </c>
      <c r="M13" s="12">
        <f>SUMIF(Mercado_Receita!$S$2:$S$298,"44409BGeraçãoNão se aplicaNão se aplicaTIPO 02Não se aplicaNão se aplica",Mercado_Receita!$J$2:$J$298)+SUMIF(Mercado_Receita!$S$2:$S$298,"44409BGeraçãoNão se aplicaNão se aplicaAPENão se aplicaNão se aplica",Mercado_Receita!$J$2:$J$298)</f>
        <v>0</v>
      </c>
      <c r="N13" s="12">
        <f>SUMIF(Mercado_Receita!$S$2:$S$298,"44440BGeraçãoNão se aplicaNão se aplicaTIPO 02Não se aplicaNão se aplica",Mercado_Receita!$J$2:$J$298)+SUMIF(Mercado_Receita!$S$2:$S$298,"44440BGeraçãoNão se aplicaNão se aplicaAPENão se aplicaNão se aplica",Mercado_Receita!$J$2:$J$298)</f>
        <v>0</v>
      </c>
      <c r="O13" s="12">
        <f>SUMIF(Mercado_Receita!$S$2:$S$298,"44470BGeraçãoNão se aplicaNão se aplicaTIPO 02Não se aplicaNão se aplica",Mercado_Receita!$J$2:$J$298)+SUMIF(Mercado_Receita!$S$2:$S$298,"44470BGeraçãoNão se aplicaNão se aplicaAPENão se aplicaNão se aplica",Mercado_Receita!$J$2:$J$298)</f>
        <v>0</v>
      </c>
      <c r="P13" s="12">
        <f>SUMIF(Mercado_Receita!$S$2:$S$298,"44501BGeraçãoNão se aplicaNão se aplicaTIPO 02Não se aplicaNão se aplica",Mercado_Receita!$J$2:$J$298)+SUMIF(Mercado_Receita!$S$2:$S$298,"44501BGeraçãoNão se aplicaNão se aplicaAPENão se aplicaNão se aplica",Mercado_Receita!$J$2:$J$298)</f>
        <v>0</v>
      </c>
      <c r="Q13" s="12">
        <f>SUMIF(Mercado_Receita!$S$2:$S$298,"44531BGeraçãoNão se aplicaNão se aplicaTIPO 02Não se aplicaNão se aplica",Mercado_Receita!$J$2:$J$298)+SUMIF(Mercado_Receita!$S$2:$S$298,"44531BGeraçãoNão se aplicaNão se aplicaAPENão se aplicaNão se aplica",Mercado_Receita!$J$2:$J$298)</f>
        <v>0</v>
      </c>
      <c r="R13" s="12">
        <f>SUMIF(Mercado_Receita!$S$2:$S$298,"44562BGeraçãoNão se aplicaNão se aplicaTIPO 02Não se aplicaNão se aplica",Mercado_Receita!$J$2:$J$298)+SUMIF(Mercado_Receita!$S$2:$S$298,"44562BGeraçãoNão se aplicaNão se aplicaAPENão se aplicaNão se aplica",Mercado_Receita!$J$2:$J$298)</f>
        <v>0</v>
      </c>
      <c r="S13" s="12">
        <f>SUMIF(Mercado_Receita!$S$2:$S$298,"44593BGeraçãoNão se aplicaNão se aplicaTIPO 02Não se aplicaNão se aplica",Mercado_Receita!$J$2:$J$298)+SUMIF(Mercado_Receita!$S$2:$S$298,"44593BGeraçãoNão se aplicaNão se aplicaAPENão se aplicaNão se aplica",Mercado_Receita!$J$2:$J$298)</f>
        <v>0</v>
      </c>
      <c r="T13" s="12">
        <f>SUMIF(Mercado_Receita!$S$2:$S$298,"44621BGeraçãoNão se aplicaNão se aplicaTIPO 02Não se aplicaNão se aplica",Mercado_Receita!$J$2:$J$298)+SUMIF(Mercado_Receita!$S$2:$S$298,"44621BGeraçãoNão se aplicaNão se aplicaAPENão se aplicaNão se aplica",Mercado_Receita!$J$2:$J$298)</f>
        <v>0</v>
      </c>
      <c r="U13" s="12">
        <f t="shared" si="0"/>
        <v>0</v>
      </c>
      <c r="V13" s="12"/>
      <c r="W13" s="12"/>
    </row>
    <row r="14" spans="1:30" ht="11.25" customHeight="1" x14ac:dyDescent="0.3">
      <c r="A14" s="106" t="s">
        <v>22</v>
      </c>
      <c r="B14" s="106" t="s">
        <v>82</v>
      </c>
      <c r="C14" s="106" t="s">
        <v>24</v>
      </c>
      <c r="D14" s="106" t="s">
        <v>24</v>
      </c>
      <c r="E14" s="106" t="s">
        <v>25</v>
      </c>
      <c r="F14" s="106" t="s">
        <v>25</v>
      </c>
      <c r="G14" s="12" t="s">
        <v>68</v>
      </c>
      <c r="H14" s="12" t="s">
        <v>67</v>
      </c>
      <c r="I14" s="12">
        <f>SUMIF(Mercado_Receita!$S$2:$S$298,"44287B1BrancaResidencialResidencialNão se aplicaNão se aplicaPonta",Mercado_Receita!$L$2:$L$298)</f>
        <v>0</v>
      </c>
      <c r="J14" s="12">
        <f>SUMIF(Mercado_Receita!$S$2:$S$298,"44317B1BrancaResidencialResidencialNão se aplicaNão se aplicaPonta",Mercado_Receita!$L$2:$L$298)</f>
        <v>0</v>
      </c>
      <c r="K14" s="12">
        <f>SUMIF(Mercado_Receita!$S$2:$S$298,"44348B1BrancaResidencialResidencialNão se aplicaNão se aplicaPonta",Mercado_Receita!$L$2:$L$298)</f>
        <v>0</v>
      </c>
      <c r="L14" s="12">
        <f>SUMIF(Mercado_Receita!$S$2:$S$298,"44378B1BrancaResidencialResidencialNão se aplicaNão se aplicaPonta",Mercado_Receita!$L$2:$L$298)</f>
        <v>0</v>
      </c>
      <c r="M14" s="12">
        <f>SUMIF(Mercado_Receita!$S$2:$S$298,"44409B1BrancaResidencialResidencialNão se aplicaNão se aplicaPonta",Mercado_Receita!$L$2:$L$298)</f>
        <v>0</v>
      </c>
      <c r="N14" s="12">
        <f>SUMIF(Mercado_Receita!$S$2:$S$298,"44440B1BrancaResidencialResidencialNão se aplicaNão se aplicaPonta",Mercado_Receita!$L$2:$L$298)</f>
        <v>0</v>
      </c>
      <c r="O14" s="12">
        <f>SUMIF(Mercado_Receita!$S$2:$S$298,"44470B1BrancaResidencialResidencialNão se aplicaNão se aplicaPonta",Mercado_Receita!$L$2:$L$298)</f>
        <v>0</v>
      </c>
      <c r="P14" s="12">
        <f>SUMIF(Mercado_Receita!$S$2:$S$298,"44501B1BrancaResidencialResidencialNão se aplicaNão se aplicaPonta",Mercado_Receita!$L$2:$L$298)</f>
        <v>0</v>
      </c>
      <c r="Q14" s="12">
        <f>SUMIF(Mercado_Receita!$S$2:$S$298,"44531B1BrancaResidencialResidencialNão se aplicaNão se aplicaPonta",Mercado_Receita!$L$2:$L$298)</f>
        <v>0</v>
      </c>
      <c r="R14" s="12">
        <f>SUMIF(Mercado_Receita!$S$2:$S$298,"44562B1BrancaResidencialResidencialNão se aplicaNão se aplicaPonta",Mercado_Receita!$L$2:$L$298)</f>
        <v>0</v>
      </c>
      <c r="S14" s="12">
        <f>SUMIF(Mercado_Receita!$S$2:$S$298,"44593B1BrancaResidencialResidencialNão se aplicaNão se aplicaPonta",Mercado_Receita!$L$2:$L$298)</f>
        <v>0</v>
      </c>
      <c r="T14" s="12">
        <f>SUMIF(Mercado_Receita!$S$2:$S$298,"44621B1BrancaResidencialResidencialNão se aplicaNão se aplicaPonta",Mercado_Receita!$L$2:$L$298)</f>
        <v>0</v>
      </c>
      <c r="U14" s="12">
        <f t="shared" si="0"/>
        <v>0</v>
      </c>
      <c r="V14" s="12"/>
      <c r="W14" s="12"/>
    </row>
    <row r="15" spans="1:30" ht="11.25" customHeight="1" x14ac:dyDescent="0.3">
      <c r="A15" s="107"/>
      <c r="B15" s="107"/>
      <c r="C15" s="107"/>
      <c r="D15" s="107"/>
      <c r="E15" s="107"/>
      <c r="F15" s="107"/>
      <c r="G15" s="12" t="s">
        <v>80</v>
      </c>
      <c r="H15" s="12" t="s">
        <v>67</v>
      </c>
      <c r="I15" s="12">
        <f>SUMIF(Mercado_Receita!$S$2:$S$298,"44287B1BrancaResidencialResidencialNão se aplicaNão se aplicaIntermediário",Mercado_Receita!$L$2:$L$298)</f>
        <v>0</v>
      </c>
      <c r="J15" s="12">
        <f>SUMIF(Mercado_Receita!$S$2:$S$298,"44317B1BrancaResidencialResidencialNão se aplicaNão se aplicaIntermediário",Mercado_Receita!$L$2:$L$298)</f>
        <v>0</v>
      </c>
      <c r="K15" s="12">
        <f>SUMIF(Mercado_Receita!$S$2:$S$298,"44348B1BrancaResidencialResidencialNão se aplicaNão se aplicaIntermediário",Mercado_Receita!$L$2:$L$298)</f>
        <v>0</v>
      </c>
      <c r="L15" s="12">
        <f>SUMIF(Mercado_Receita!$S$2:$S$298,"44378B1BrancaResidencialResidencialNão se aplicaNão se aplicaIntermediário",Mercado_Receita!$L$2:$L$298)</f>
        <v>0</v>
      </c>
      <c r="M15" s="12">
        <f>SUMIF(Mercado_Receita!$S$2:$S$298,"44409B1BrancaResidencialResidencialNão se aplicaNão se aplicaIntermediário",Mercado_Receita!$L$2:$L$298)</f>
        <v>0</v>
      </c>
      <c r="N15" s="12">
        <f>SUMIF(Mercado_Receita!$S$2:$S$298,"44440B1BrancaResidencialResidencialNão se aplicaNão se aplicaIntermediário",Mercado_Receita!$L$2:$L$298)</f>
        <v>0</v>
      </c>
      <c r="O15" s="12">
        <f>SUMIF(Mercado_Receita!$S$2:$S$298,"44470B1BrancaResidencialResidencialNão se aplicaNão se aplicaIntermediário",Mercado_Receita!$L$2:$L$298)</f>
        <v>0</v>
      </c>
      <c r="P15" s="12">
        <f>SUMIF(Mercado_Receita!$S$2:$S$298,"44501B1BrancaResidencialResidencialNão se aplicaNão se aplicaIntermediário",Mercado_Receita!$L$2:$L$298)</f>
        <v>0</v>
      </c>
      <c r="Q15" s="12">
        <f>SUMIF(Mercado_Receita!$S$2:$S$298,"44531B1BrancaResidencialResidencialNão se aplicaNão se aplicaIntermediário",Mercado_Receita!$L$2:$L$298)</f>
        <v>0</v>
      </c>
      <c r="R15" s="12">
        <f>SUMIF(Mercado_Receita!$S$2:$S$298,"44562B1BrancaResidencialResidencialNão se aplicaNão se aplicaIntermediário",Mercado_Receita!$L$2:$L$298)</f>
        <v>0</v>
      </c>
      <c r="S15" s="12">
        <f>SUMIF(Mercado_Receita!$S$2:$S$298,"44593B1BrancaResidencialResidencialNão se aplicaNão se aplicaIntermediário",Mercado_Receita!$L$2:$L$298)</f>
        <v>0</v>
      </c>
      <c r="T15" s="12">
        <f>SUMIF(Mercado_Receita!$S$2:$S$298,"44621B1BrancaResidencialResidencialNão se aplicaNão se aplicaIntermediário",Mercado_Receita!$L$2:$L$298)</f>
        <v>0</v>
      </c>
      <c r="U15" s="12">
        <f t="shared" si="0"/>
        <v>0</v>
      </c>
      <c r="V15" s="12"/>
      <c r="W15" s="12"/>
    </row>
    <row r="16" spans="1:30" ht="11.25" customHeight="1" x14ac:dyDescent="0.3">
      <c r="A16" s="107"/>
      <c r="B16" s="107"/>
      <c r="C16" s="107"/>
      <c r="D16" s="107"/>
      <c r="E16" s="107"/>
      <c r="F16" s="107"/>
      <c r="G16" s="12" t="s">
        <v>69</v>
      </c>
      <c r="H16" s="12" t="s">
        <v>67</v>
      </c>
      <c r="I16" s="12">
        <f>SUMIF(Mercado_Receita!$S$2:$S$298,"44287B1BrancaResidencialResidencialNão se aplicaNão se aplicaFora ponta",Mercado_Receita!$L$2:$L$298)</f>
        <v>0</v>
      </c>
      <c r="J16" s="12">
        <f>SUMIF(Mercado_Receita!$S$2:$S$298,"44317B1BrancaResidencialResidencialNão se aplicaNão se aplicaFora ponta",Mercado_Receita!$L$2:$L$298)</f>
        <v>0</v>
      </c>
      <c r="K16" s="12">
        <f>SUMIF(Mercado_Receita!$S$2:$S$298,"44348B1BrancaResidencialResidencialNão se aplicaNão se aplicaFora ponta",Mercado_Receita!$L$2:$L$298)</f>
        <v>0</v>
      </c>
      <c r="L16" s="12">
        <f>SUMIF(Mercado_Receita!$S$2:$S$298,"44378B1BrancaResidencialResidencialNão se aplicaNão se aplicaFora ponta",Mercado_Receita!$L$2:$L$298)</f>
        <v>0</v>
      </c>
      <c r="M16" s="12">
        <f>SUMIF(Mercado_Receita!$S$2:$S$298,"44409B1BrancaResidencialResidencialNão se aplicaNão se aplicaFora ponta",Mercado_Receita!$L$2:$L$298)</f>
        <v>0</v>
      </c>
      <c r="N16" s="12">
        <f>SUMIF(Mercado_Receita!$S$2:$S$298,"44440B1BrancaResidencialResidencialNão se aplicaNão se aplicaFora ponta",Mercado_Receita!$L$2:$L$298)</f>
        <v>0</v>
      </c>
      <c r="O16" s="12">
        <f>SUMIF(Mercado_Receita!$S$2:$S$298,"44470B1BrancaResidencialResidencialNão se aplicaNão se aplicaFora ponta",Mercado_Receita!$L$2:$L$298)</f>
        <v>0</v>
      </c>
      <c r="P16" s="12">
        <f>SUMIF(Mercado_Receita!$S$2:$S$298,"44501B1BrancaResidencialResidencialNão se aplicaNão se aplicaFora ponta",Mercado_Receita!$L$2:$L$298)</f>
        <v>0</v>
      </c>
      <c r="Q16" s="12">
        <f>SUMIF(Mercado_Receita!$S$2:$S$298,"44531B1BrancaResidencialResidencialNão se aplicaNão se aplicaFora ponta",Mercado_Receita!$L$2:$L$298)</f>
        <v>0</v>
      </c>
      <c r="R16" s="12">
        <f>SUMIF(Mercado_Receita!$S$2:$S$298,"44562B1BrancaResidencialResidencialNão se aplicaNão se aplicaFora ponta",Mercado_Receita!$L$2:$L$298)</f>
        <v>0</v>
      </c>
      <c r="S16" s="12">
        <f>SUMIF(Mercado_Receita!$S$2:$S$298,"44593B1BrancaResidencialResidencialNão se aplicaNão se aplicaFora ponta",Mercado_Receita!$L$2:$L$298)</f>
        <v>0</v>
      </c>
      <c r="T16" s="12">
        <f>SUMIF(Mercado_Receita!$S$2:$S$298,"44621B1BrancaResidencialResidencialNão se aplicaNão se aplicaFora ponta",Mercado_Receita!$L$2:$L$298)</f>
        <v>0</v>
      </c>
      <c r="U16" s="12">
        <f t="shared" si="0"/>
        <v>0</v>
      </c>
      <c r="V16" s="12"/>
      <c r="W16" s="12"/>
    </row>
    <row r="17" spans="1:23" ht="11.25" customHeight="1" x14ac:dyDescent="0.3">
      <c r="A17" s="107"/>
      <c r="B17" s="106" t="s">
        <v>23</v>
      </c>
      <c r="C17" s="106" t="s">
        <v>24</v>
      </c>
      <c r="D17" s="13" t="s">
        <v>24</v>
      </c>
      <c r="E17" s="13" t="s">
        <v>25</v>
      </c>
      <c r="F17" s="13" t="s">
        <v>25</v>
      </c>
      <c r="G17" s="12" t="s">
        <v>74</v>
      </c>
      <c r="H17" s="12" t="s">
        <v>67</v>
      </c>
      <c r="I17" s="12">
        <f>SUMIF(Mercado_Receita!$S$2:$S$298,"44287B1ConvencionalResidencialResidencialNão se aplicaNão se aplicaPonta",Mercado_Receita!$L$2:$L$298)+SUMIF(Mercado_Receita!$S$2:$S$298,"44287B1ConvencionalResidencialResidencialNão se aplicaNão se aplicaFora ponta",Mercado_Receita!$L$2:$L$298)+SUMIF(Mercado_Receita!$S$2:$S$298,"44287B1ConvencionalResidencialResidencialNão se aplicaNão se aplicaIntermediário",Mercado_Receita!$L$2:$L$298)+SUMIF(Mercado_Receita!$S$2:$S$298,"44287B1ConvencionalResidencialResidencialNão se aplicaNão se aplicaNão se aplica",Mercado_Receita!$L$2:$L$298)</f>
        <v>728.70900000000006</v>
      </c>
      <c r="J17" s="12">
        <f>SUMIF(Mercado_Receita!$S$2:$S$298,"44317B1ConvencionalResidencialResidencialNão se aplicaNão se aplicaPonta",Mercado_Receita!$L$2:$L$298)+SUMIF(Mercado_Receita!$S$2:$S$298,"44317B1ConvencionalResidencialResidencialNão se aplicaNão se aplicaFora ponta",Mercado_Receita!$L$2:$L$298)+SUMIF(Mercado_Receita!$S$2:$S$298,"44317B1ConvencionalResidencialResidencialNão se aplicaNão se aplicaIntermediário",Mercado_Receita!$L$2:$L$298)+SUMIF(Mercado_Receita!$S$2:$S$298,"44317B1ConvencionalResidencialResidencialNão se aplicaNão se aplicaNão se aplica",Mercado_Receita!$L$2:$L$298)</f>
        <v>684.18200000000002</v>
      </c>
      <c r="K17" s="12">
        <f>SUMIF(Mercado_Receita!$S$2:$S$298,"44348B1ConvencionalResidencialResidencialNão se aplicaNão se aplicaPonta",Mercado_Receita!$L$2:$L$298)+SUMIF(Mercado_Receita!$S$2:$S$298,"44348B1ConvencionalResidencialResidencialNão se aplicaNão se aplicaFora ponta",Mercado_Receita!$L$2:$L$298)+SUMIF(Mercado_Receita!$S$2:$S$298,"44348B1ConvencionalResidencialResidencialNão se aplicaNão se aplicaIntermediário",Mercado_Receita!$L$2:$L$298)+SUMIF(Mercado_Receita!$S$2:$S$298,"44348B1ConvencionalResidencialResidencialNão se aplicaNão se aplicaNão se aplica",Mercado_Receita!$L$2:$L$298)</f>
        <v>689.51799999999992</v>
      </c>
      <c r="L17" s="12">
        <f>SUMIF(Mercado_Receita!$S$2:$S$298,"44378B1ConvencionalResidencialResidencialNão se aplicaNão se aplicaPonta",Mercado_Receita!$L$2:$L$298)+SUMIF(Mercado_Receita!$S$2:$S$298,"44378B1ConvencionalResidencialResidencialNão se aplicaNão se aplicaFora ponta",Mercado_Receita!$L$2:$L$298)+SUMIF(Mercado_Receita!$S$2:$S$298,"44378B1ConvencionalResidencialResidencialNão se aplicaNão se aplicaIntermediário",Mercado_Receita!$L$2:$L$298)+SUMIF(Mercado_Receita!$S$2:$S$298,"44378B1ConvencionalResidencialResidencialNão se aplicaNão se aplicaNão se aplica",Mercado_Receita!$L$2:$L$298)</f>
        <v>653.68200000000002</v>
      </c>
      <c r="M17" s="12">
        <f>SUMIF(Mercado_Receita!$S$2:$S$298,"44409B1ConvencionalResidencialResidencialNão se aplicaNão se aplicaPonta",Mercado_Receita!$L$2:$L$298)+SUMIF(Mercado_Receita!$S$2:$S$298,"44409B1ConvencionalResidencialResidencialNão se aplicaNão se aplicaFora ponta",Mercado_Receita!$L$2:$L$298)+SUMIF(Mercado_Receita!$S$2:$S$298,"44409B1ConvencionalResidencialResidencialNão se aplicaNão se aplicaIntermediário",Mercado_Receita!$L$2:$L$298)+SUMIF(Mercado_Receita!$S$2:$S$298,"44409B1ConvencionalResidencialResidencialNão se aplicaNão se aplicaNão se aplica",Mercado_Receita!$L$2:$L$298)</f>
        <v>700.31400000000008</v>
      </c>
      <c r="N17" s="12">
        <f>SUMIF(Mercado_Receita!$S$2:$S$298,"44440B1ConvencionalResidencialResidencialNão se aplicaNão se aplicaPonta",Mercado_Receita!$L$2:$L$298)+SUMIF(Mercado_Receita!$S$2:$S$298,"44440B1ConvencionalResidencialResidencialNão se aplicaNão se aplicaFora ponta",Mercado_Receita!$L$2:$L$298)+SUMIF(Mercado_Receita!$S$2:$S$298,"44440B1ConvencionalResidencialResidencialNão se aplicaNão se aplicaIntermediário",Mercado_Receita!$L$2:$L$298)+SUMIF(Mercado_Receita!$S$2:$S$298,"44440B1ConvencionalResidencialResidencialNão se aplicaNão se aplicaNão se aplica",Mercado_Receita!$L$2:$L$298)</f>
        <v>715.53400000000011</v>
      </c>
      <c r="O17" s="12">
        <f>SUMIF(Mercado_Receita!$S$2:$S$298,"44470B1ConvencionalResidencialResidencialNão se aplicaNão se aplicaPonta",Mercado_Receita!$L$2:$L$298)+SUMIF(Mercado_Receita!$S$2:$S$298,"44470B1ConvencionalResidencialResidencialNão se aplicaNão se aplicaFora ponta",Mercado_Receita!$L$2:$L$298)+SUMIF(Mercado_Receita!$S$2:$S$298,"44470B1ConvencionalResidencialResidencialNão se aplicaNão se aplicaIntermediário",Mercado_Receita!$L$2:$L$298)+SUMIF(Mercado_Receita!$S$2:$S$298,"44470B1ConvencionalResidencialResidencialNão se aplicaNão se aplicaNão se aplica",Mercado_Receita!$L$2:$L$298)</f>
        <v>713.33300000000008</v>
      </c>
      <c r="P17" s="12">
        <f>SUMIF(Mercado_Receita!$S$2:$S$298,"44501B1ConvencionalResidencialResidencialNão se aplicaNão se aplicaPonta",Mercado_Receita!$L$2:$L$298)+SUMIF(Mercado_Receita!$S$2:$S$298,"44501B1ConvencionalResidencialResidencialNão se aplicaNão se aplicaFora ponta",Mercado_Receita!$L$2:$L$298)+SUMIF(Mercado_Receita!$S$2:$S$298,"44501B1ConvencionalResidencialResidencialNão se aplicaNão se aplicaIntermediário",Mercado_Receita!$L$2:$L$298)+SUMIF(Mercado_Receita!$S$2:$S$298,"44501B1ConvencionalResidencialResidencialNão se aplicaNão se aplicaNão se aplica",Mercado_Receita!$L$2:$L$298)</f>
        <v>709.52800000000002</v>
      </c>
      <c r="Q17" s="12">
        <f>SUMIF(Mercado_Receita!$S$2:$S$298,"44531B1ConvencionalResidencialResidencialNão se aplicaNão se aplicaPonta",Mercado_Receita!$L$2:$L$298)+SUMIF(Mercado_Receita!$S$2:$S$298,"44531B1ConvencionalResidencialResidencialNão se aplicaNão se aplicaFora ponta",Mercado_Receita!$L$2:$L$298)+SUMIF(Mercado_Receita!$S$2:$S$298,"44531B1ConvencionalResidencialResidencialNão se aplicaNão se aplicaIntermediário",Mercado_Receita!$L$2:$L$298)+SUMIF(Mercado_Receita!$S$2:$S$298,"44531B1ConvencionalResidencialResidencialNão se aplicaNão se aplicaNão se aplica",Mercado_Receita!$L$2:$L$298)</f>
        <v>725.81900000000007</v>
      </c>
      <c r="R17" s="12">
        <f>SUMIF(Mercado_Receita!$S$2:$S$298,"44562B1ConvencionalResidencialResidencialNão se aplicaNão se aplicaPonta",Mercado_Receita!$L$2:$L$298)+SUMIF(Mercado_Receita!$S$2:$S$298,"44562B1ConvencionalResidencialResidencialNão se aplicaNão se aplicaFora ponta",Mercado_Receita!$L$2:$L$298)+SUMIF(Mercado_Receita!$S$2:$S$298,"44562B1ConvencionalResidencialResidencialNão se aplicaNão se aplicaIntermediário",Mercado_Receita!$L$2:$L$298)+SUMIF(Mercado_Receita!$S$2:$S$298,"44562B1ConvencionalResidencialResidencialNão se aplicaNão se aplicaNão se aplica",Mercado_Receita!$L$2:$L$298)</f>
        <v>798.08500000000004</v>
      </c>
      <c r="S17" s="12">
        <f>SUMIF(Mercado_Receita!$S$2:$S$298,"44593B1ConvencionalResidencialResidencialNão se aplicaNão se aplicaPonta",Mercado_Receita!$L$2:$L$298)+SUMIF(Mercado_Receita!$S$2:$S$298,"44593B1ConvencionalResidencialResidencialNão se aplicaNão se aplicaFora ponta",Mercado_Receita!$L$2:$L$298)+SUMIF(Mercado_Receita!$S$2:$S$298,"44593B1ConvencionalResidencialResidencialNão se aplicaNão se aplicaIntermediário",Mercado_Receita!$L$2:$L$298)+SUMIF(Mercado_Receita!$S$2:$S$298,"44593B1ConvencionalResidencialResidencialNão se aplicaNão se aplicaNão se aplica",Mercado_Receita!$L$2:$L$298)</f>
        <v>774.04200000000003</v>
      </c>
      <c r="T17" s="12">
        <f>SUMIF(Mercado_Receita!$S$2:$S$298,"44621B1ConvencionalResidencialResidencialNão se aplicaNão se aplicaPonta",Mercado_Receita!$L$2:$L$298)+SUMIF(Mercado_Receita!$S$2:$S$298,"44621B1ConvencionalResidencialResidencialNão se aplicaNão se aplicaFora ponta",Mercado_Receita!$L$2:$L$298)+SUMIF(Mercado_Receita!$S$2:$S$298,"44621B1ConvencionalResidencialResidencialNão se aplicaNão se aplicaIntermediário",Mercado_Receita!$L$2:$L$298)+SUMIF(Mercado_Receita!$S$2:$S$298,"44621B1ConvencionalResidencialResidencialNão se aplicaNão se aplicaNão se aplica",Mercado_Receita!$L$2:$L$298)</f>
        <v>773.39</v>
      </c>
      <c r="U17" s="12">
        <f t="shared" si="0"/>
        <v>8666.1360000000022</v>
      </c>
      <c r="V17" s="12"/>
      <c r="W17" s="12"/>
    </row>
    <row r="18" spans="1:23" ht="11.25" customHeight="1" x14ac:dyDescent="0.3">
      <c r="A18" s="107"/>
      <c r="B18" s="107"/>
      <c r="C18" s="107"/>
      <c r="D18" s="13" t="s">
        <v>29</v>
      </c>
      <c r="E18" s="13" t="s">
        <v>25</v>
      </c>
      <c r="F18" s="13" t="s">
        <v>25</v>
      </c>
      <c r="G18" s="12" t="s">
        <v>74</v>
      </c>
      <c r="H18" s="12" t="s">
        <v>67</v>
      </c>
      <c r="I18" s="12">
        <f>SUMIF(Mercado_Receita!$S$2:$S$298,"44287B1ConvencionalResidencialResidencial baixa renda – faixa 01Não se aplicaNão se aplicaPonta",Mercado_Receita!$L$2:$L$298)+SUMIF(Mercado_Receita!$S$2:$S$298,"44287B1ConvencionalResidencialResidencial baixa renda – faixa 01Não se aplicaNão se aplicaFora ponta",Mercado_Receita!$L$2:$L$298)+SUMIF(Mercado_Receita!$S$2:$S$298,"44287B1ConvencionalResidencialResidencial baixa renda – faixa 01Não se aplicaNão se aplicaIntermediário",Mercado_Receita!$L$2:$L$298)+SUMIF(Mercado_Receita!$S$2:$S$298,"44287B1ConvencionalResidencialResidencial baixa renda – faixa 01Não se aplicaNão se aplicaNão se aplica",Mercado_Receita!$L$2:$L$298)</f>
        <v>1.89</v>
      </c>
      <c r="J18" s="12">
        <f>SUMIF(Mercado_Receita!$S$2:$S$298,"44317B1ConvencionalResidencialResidencial baixa renda – faixa 01Não se aplicaNão se aplicaPonta",Mercado_Receita!$L$2:$L$298)+SUMIF(Mercado_Receita!$S$2:$S$298,"44317B1ConvencionalResidencialResidencial baixa renda – faixa 01Não se aplicaNão se aplicaFora ponta",Mercado_Receita!$L$2:$L$298)+SUMIF(Mercado_Receita!$S$2:$S$298,"44317B1ConvencionalResidencialResidencial baixa renda – faixa 01Não se aplicaNão se aplicaIntermediário",Mercado_Receita!$L$2:$L$298)+SUMIF(Mercado_Receita!$S$2:$S$298,"44317B1ConvencionalResidencialResidencial baixa renda – faixa 01Não se aplicaNão se aplicaNão se aplica",Mercado_Receita!$L$2:$L$298)</f>
        <v>2.04</v>
      </c>
      <c r="K18" s="12">
        <f>SUMIF(Mercado_Receita!$S$2:$S$298,"44348B1ConvencionalResidencialResidencial baixa renda – faixa 01Não se aplicaNão se aplicaPonta",Mercado_Receita!$L$2:$L$298)+SUMIF(Mercado_Receita!$S$2:$S$298,"44348B1ConvencionalResidencialResidencial baixa renda – faixa 01Não se aplicaNão se aplicaFora ponta",Mercado_Receita!$L$2:$L$298)+SUMIF(Mercado_Receita!$S$2:$S$298,"44348B1ConvencionalResidencialResidencial baixa renda – faixa 01Não se aplicaNão se aplicaIntermediário",Mercado_Receita!$L$2:$L$298)+SUMIF(Mercado_Receita!$S$2:$S$298,"44348B1ConvencionalResidencialResidencial baixa renda – faixa 01Não se aplicaNão se aplicaNão se aplica",Mercado_Receita!$L$2:$L$298)</f>
        <v>2.16</v>
      </c>
      <c r="L18" s="12">
        <f>SUMIF(Mercado_Receita!$S$2:$S$298,"44378B1ConvencionalResidencialResidencial baixa renda – faixa 01Não se aplicaNão se aplicaPonta",Mercado_Receita!$L$2:$L$298)+SUMIF(Mercado_Receita!$S$2:$S$298,"44378B1ConvencionalResidencialResidencial baixa renda – faixa 01Não se aplicaNão se aplicaFora ponta",Mercado_Receita!$L$2:$L$298)+SUMIF(Mercado_Receita!$S$2:$S$298,"44378B1ConvencionalResidencialResidencial baixa renda – faixa 01Não se aplicaNão se aplicaIntermediário",Mercado_Receita!$L$2:$L$298)+SUMIF(Mercado_Receita!$S$2:$S$298,"44378B1ConvencionalResidencialResidencial baixa renda – faixa 01Não se aplicaNão se aplicaNão se aplica",Mercado_Receita!$L$2:$L$298)</f>
        <v>2.2200000000000002</v>
      </c>
      <c r="M18" s="12">
        <f>SUMIF(Mercado_Receita!$S$2:$S$298,"44409B1ConvencionalResidencialResidencial baixa renda – faixa 01Não se aplicaNão se aplicaPonta",Mercado_Receita!$L$2:$L$298)+SUMIF(Mercado_Receita!$S$2:$S$298,"44409B1ConvencionalResidencialResidencial baixa renda – faixa 01Não se aplicaNão se aplicaFora ponta",Mercado_Receita!$L$2:$L$298)+SUMIF(Mercado_Receita!$S$2:$S$298,"44409B1ConvencionalResidencialResidencial baixa renda – faixa 01Não se aplicaNão se aplicaIntermediário",Mercado_Receita!$L$2:$L$298)+SUMIF(Mercado_Receita!$S$2:$S$298,"44409B1ConvencionalResidencialResidencial baixa renda – faixa 01Não se aplicaNão se aplicaNão se aplica",Mercado_Receita!$L$2:$L$298)</f>
        <v>2.25</v>
      </c>
      <c r="N18" s="12">
        <f>SUMIF(Mercado_Receita!$S$2:$S$298,"44440B1ConvencionalResidencialResidencial baixa renda – faixa 01Não se aplicaNão se aplicaPonta",Mercado_Receita!$L$2:$L$298)+SUMIF(Mercado_Receita!$S$2:$S$298,"44440B1ConvencionalResidencialResidencial baixa renda – faixa 01Não se aplicaNão se aplicaFora ponta",Mercado_Receita!$L$2:$L$298)+SUMIF(Mercado_Receita!$S$2:$S$298,"44440B1ConvencionalResidencialResidencial baixa renda – faixa 01Não se aplicaNão se aplicaIntermediário",Mercado_Receita!$L$2:$L$298)+SUMIF(Mercado_Receita!$S$2:$S$298,"44440B1ConvencionalResidencialResidencial baixa renda – faixa 01Não se aplicaNão se aplicaNão se aplica",Mercado_Receita!$L$2:$L$298)</f>
        <v>2.34</v>
      </c>
      <c r="O18" s="12">
        <f>SUMIF(Mercado_Receita!$S$2:$S$298,"44470B1ConvencionalResidencialResidencial baixa renda – faixa 01Não se aplicaNão se aplicaPonta",Mercado_Receita!$L$2:$L$298)+SUMIF(Mercado_Receita!$S$2:$S$298,"44470B1ConvencionalResidencialResidencial baixa renda – faixa 01Não se aplicaNão se aplicaFora ponta",Mercado_Receita!$L$2:$L$298)+SUMIF(Mercado_Receita!$S$2:$S$298,"44470B1ConvencionalResidencialResidencial baixa renda – faixa 01Não se aplicaNão se aplicaIntermediário",Mercado_Receita!$L$2:$L$298)+SUMIF(Mercado_Receita!$S$2:$S$298,"44470B1ConvencionalResidencialResidencial baixa renda – faixa 01Não se aplicaNão se aplicaNão se aplica",Mercado_Receita!$L$2:$L$298)</f>
        <v>2.4900000000000002</v>
      </c>
      <c r="P18" s="12">
        <f>SUMIF(Mercado_Receita!$S$2:$S$298,"44501B1ConvencionalResidencialResidencial baixa renda – faixa 01Não se aplicaNão se aplicaPonta",Mercado_Receita!$L$2:$L$298)+SUMIF(Mercado_Receita!$S$2:$S$298,"44501B1ConvencionalResidencialResidencial baixa renda – faixa 01Não se aplicaNão se aplicaFora ponta",Mercado_Receita!$L$2:$L$298)+SUMIF(Mercado_Receita!$S$2:$S$298,"44501B1ConvencionalResidencialResidencial baixa renda – faixa 01Não se aplicaNão se aplicaIntermediário",Mercado_Receita!$L$2:$L$298)+SUMIF(Mercado_Receita!$S$2:$S$298,"44501B1ConvencionalResidencialResidencial baixa renda – faixa 01Não se aplicaNão se aplicaNão se aplica",Mercado_Receita!$L$2:$L$298)</f>
        <v>2.7</v>
      </c>
      <c r="Q18" s="12">
        <f>SUMIF(Mercado_Receita!$S$2:$S$298,"44531B1ConvencionalResidencialResidencial baixa renda – faixa 01Não se aplicaNão se aplicaPonta",Mercado_Receita!$L$2:$L$298)+SUMIF(Mercado_Receita!$S$2:$S$298,"44531B1ConvencionalResidencialResidencial baixa renda – faixa 01Não se aplicaNão se aplicaFora ponta",Mercado_Receita!$L$2:$L$298)+SUMIF(Mercado_Receita!$S$2:$S$298,"44531B1ConvencionalResidencialResidencial baixa renda – faixa 01Não se aplicaNão se aplicaIntermediário",Mercado_Receita!$L$2:$L$298)+SUMIF(Mercado_Receita!$S$2:$S$298,"44531B1ConvencionalResidencialResidencial baixa renda – faixa 01Não se aplicaNão se aplicaNão se aplica",Mercado_Receita!$L$2:$L$298)</f>
        <v>2.73</v>
      </c>
      <c r="R18" s="12">
        <f>SUMIF(Mercado_Receita!$S$2:$S$298,"44562B1ConvencionalResidencialResidencial baixa renda – faixa 01Não se aplicaNão se aplicaPonta",Mercado_Receita!$L$2:$L$298)+SUMIF(Mercado_Receita!$S$2:$S$298,"44562B1ConvencionalResidencialResidencial baixa renda – faixa 01Não se aplicaNão se aplicaFora ponta",Mercado_Receita!$L$2:$L$298)+SUMIF(Mercado_Receita!$S$2:$S$298,"44562B1ConvencionalResidencialResidencial baixa renda – faixa 01Não se aplicaNão se aplicaIntermediário",Mercado_Receita!$L$2:$L$298)+SUMIF(Mercado_Receita!$S$2:$S$298,"44562B1ConvencionalResidencialResidencial baixa renda – faixa 01Não se aplicaNão se aplicaNão se aplica",Mercado_Receita!$L$2:$L$298)</f>
        <v>2.97</v>
      </c>
      <c r="S18" s="12">
        <f>SUMIF(Mercado_Receita!$S$2:$S$298,"44593B1ConvencionalResidencialResidencial baixa renda – faixa 01Não se aplicaNão se aplicaPonta",Mercado_Receita!$L$2:$L$298)+SUMIF(Mercado_Receita!$S$2:$S$298,"44593B1ConvencionalResidencialResidencial baixa renda – faixa 01Não se aplicaNão se aplicaFora ponta",Mercado_Receita!$L$2:$L$298)+SUMIF(Mercado_Receita!$S$2:$S$298,"44593B1ConvencionalResidencialResidencial baixa renda – faixa 01Não se aplicaNão se aplicaIntermediário",Mercado_Receita!$L$2:$L$298)+SUMIF(Mercado_Receita!$S$2:$S$298,"44593B1ConvencionalResidencialResidencial baixa renda – faixa 01Não se aplicaNão se aplicaNão se aplica",Mercado_Receita!$L$2:$L$298)</f>
        <v>3.36</v>
      </c>
      <c r="T18" s="12">
        <f>SUMIF(Mercado_Receita!$S$2:$S$298,"44621B1ConvencionalResidencialResidencial baixa renda – faixa 01Não se aplicaNão se aplicaPonta",Mercado_Receita!$L$2:$L$298)+SUMIF(Mercado_Receita!$S$2:$S$298,"44621B1ConvencionalResidencialResidencial baixa renda – faixa 01Não se aplicaNão se aplicaFora ponta",Mercado_Receita!$L$2:$L$298)+SUMIF(Mercado_Receita!$S$2:$S$298,"44621B1ConvencionalResidencialResidencial baixa renda – faixa 01Não se aplicaNão se aplicaIntermediário",Mercado_Receita!$L$2:$L$298)+SUMIF(Mercado_Receita!$S$2:$S$298,"44621B1ConvencionalResidencialResidencial baixa renda – faixa 01Não se aplicaNão se aplicaNão se aplica",Mercado_Receita!$L$2:$L$298)</f>
        <v>7.62</v>
      </c>
      <c r="U18" s="12">
        <f t="shared" si="0"/>
        <v>34.769999999999996</v>
      </c>
      <c r="V18" s="12"/>
      <c r="W18" s="12"/>
    </row>
    <row r="19" spans="1:23" ht="11.25" customHeight="1" x14ac:dyDescent="0.3">
      <c r="A19" s="107"/>
      <c r="B19" s="107"/>
      <c r="C19" s="107"/>
      <c r="D19" s="13" t="s">
        <v>30</v>
      </c>
      <c r="E19" s="13" t="s">
        <v>25</v>
      </c>
      <c r="F19" s="13" t="s">
        <v>25</v>
      </c>
      <c r="G19" s="12" t="s">
        <v>74</v>
      </c>
      <c r="H19" s="12" t="s">
        <v>67</v>
      </c>
      <c r="I19" s="12">
        <f>SUMIF(Mercado_Receita!$S$2:$S$298,"44287B1ConvencionalResidencialResidencial baixa renda – faixa 02Não se aplicaNão se aplicaPonta",Mercado_Receita!$L$2:$L$298)+SUMIF(Mercado_Receita!$S$2:$S$298,"44287B1ConvencionalResidencialResidencial baixa renda – faixa 02Não se aplicaNão se aplicaFora ponta",Mercado_Receita!$L$2:$L$298)+SUMIF(Mercado_Receita!$S$2:$S$298,"44287B1ConvencionalResidencialResidencial baixa renda – faixa 02Não se aplicaNão se aplicaIntermediário",Mercado_Receita!$L$2:$L$298)+SUMIF(Mercado_Receita!$S$2:$S$298,"44287B1ConvencionalResidencialResidencial baixa renda – faixa 02Não se aplicaNão se aplicaNão se aplica",Mercado_Receita!$L$2:$L$298)</f>
        <v>4.13</v>
      </c>
      <c r="J19" s="12">
        <f>SUMIF(Mercado_Receita!$S$2:$S$298,"44317B1ConvencionalResidencialResidencial baixa renda – faixa 02Não se aplicaNão se aplicaPonta",Mercado_Receita!$L$2:$L$298)+SUMIF(Mercado_Receita!$S$2:$S$298,"44317B1ConvencionalResidencialResidencial baixa renda – faixa 02Não se aplicaNão se aplicaFora ponta",Mercado_Receita!$L$2:$L$298)+SUMIF(Mercado_Receita!$S$2:$S$298,"44317B1ConvencionalResidencialResidencial baixa renda – faixa 02Não se aplicaNão se aplicaIntermediário",Mercado_Receita!$L$2:$L$298)+SUMIF(Mercado_Receita!$S$2:$S$298,"44317B1ConvencionalResidencialResidencial baixa renda – faixa 02Não se aplicaNão se aplicaNão se aplica",Mercado_Receita!$L$2:$L$298)</f>
        <v>4.41</v>
      </c>
      <c r="K19" s="12">
        <f>SUMIF(Mercado_Receita!$S$2:$S$298,"44348B1ConvencionalResidencialResidencial baixa renda – faixa 02Não se aplicaNão se aplicaPonta",Mercado_Receita!$L$2:$L$298)+SUMIF(Mercado_Receita!$S$2:$S$298,"44348B1ConvencionalResidencialResidencial baixa renda – faixa 02Não se aplicaNão se aplicaFora ponta",Mercado_Receita!$L$2:$L$298)+SUMIF(Mercado_Receita!$S$2:$S$298,"44348B1ConvencionalResidencialResidencial baixa renda – faixa 02Não se aplicaNão se aplicaIntermediário",Mercado_Receita!$L$2:$L$298)+SUMIF(Mercado_Receita!$S$2:$S$298,"44348B1ConvencionalResidencialResidencial baixa renda – faixa 02Não se aplicaNão se aplicaNão se aplica",Mercado_Receita!$L$2:$L$298)</f>
        <v>4.6740000000000004</v>
      </c>
      <c r="L19" s="12">
        <f>SUMIF(Mercado_Receita!$S$2:$S$298,"44378B1ConvencionalResidencialResidencial baixa renda – faixa 02Não se aplicaNão se aplicaPonta",Mercado_Receita!$L$2:$L$298)+SUMIF(Mercado_Receita!$S$2:$S$298,"44378B1ConvencionalResidencialResidencial baixa renda – faixa 02Não se aplicaNão se aplicaFora ponta",Mercado_Receita!$L$2:$L$298)+SUMIF(Mercado_Receita!$S$2:$S$298,"44378B1ConvencionalResidencialResidencial baixa renda – faixa 02Não se aplicaNão se aplicaIntermediário",Mercado_Receita!$L$2:$L$298)+SUMIF(Mercado_Receita!$S$2:$S$298,"44378B1ConvencionalResidencialResidencial baixa renda – faixa 02Não se aplicaNão se aplicaNão se aplica",Mercado_Receita!$L$2:$L$298)</f>
        <v>4.6449999999999996</v>
      </c>
      <c r="M19" s="12">
        <f>SUMIF(Mercado_Receita!$S$2:$S$298,"44409B1ConvencionalResidencialResidencial baixa renda – faixa 02Não se aplicaNão se aplicaPonta",Mercado_Receita!$L$2:$L$298)+SUMIF(Mercado_Receita!$S$2:$S$298,"44409B1ConvencionalResidencialResidencial baixa renda – faixa 02Não se aplicaNão se aplicaFora ponta",Mercado_Receita!$L$2:$L$298)+SUMIF(Mercado_Receita!$S$2:$S$298,"44409B1ConvencionalResidencialResidencial baixa renda – faixa 02Não se aplicaNão se aplicaIntermediário",Mercado_Receita!$L$2:$L$298)+SUMIF(Mercado_Receita!$S$2:$S$298,"44409B1ConvencionalResidencialResidencial baixa renda – faixa 02Não se aplicaNão se aplicaNão se aplica",Mercado_Receita!$L$2:$L$298)</f>
        <v>4.8</v>
      </c>
      <c r="N19" s="12">
        <f>SUMIF(Mercado_Receita!$S$2:$S$298,"44440B1ConvencionalResidencialResidencial baixa renda – faixa 02Não se aplicaNão se aplicaPonta",Mercado_Receita!$L$2:$L$298)+SUMIF(Mercado_Receita!$S$2:$S$298,"44440B1ConvencionalResidencialResidencial baixa renda – faixa 02Não se aplicaNão se aplicaFora ponta",Mercado_Receita!$L$2:$L$298)+SUMIF(Mercado_Receita!$S$2:$S$298,"44440B1ConvencionalResidencialResidencial baixa renda – faixa 02Não se aplicaNão se aplicaIntermediário",Mercado_Receita!$L$2:$L$298)+SUMIF(Mercado_Receita!$S$2:$S$298,"44440B1ConvencionalResidencialResidencial baixa renda – faixa 02Não se aplicaNão se aplicaNão se aplica",Mercado_Receita!$L$2:$L$298)</f>
        <v>5.1890000000000001</v>
      </c>
      <c r="O19" s="12">
        <f>SUMIF(Mercado_Receita!$S$2:$S$298,"44470B1ConvencionalResidencialResidencial baixa renda – faixa 02Não se aplicaNão se aplicaPonta",Mercado_Receita!$L$2:$L$298)+SUMIF(Mercado_Receita!$S$2:$S$298,"44470B1ConvencionalResidencialResidencial baixa renda – faixa 02Não se aplicaNão se aplicaFora ponta",Mercado_Receita!$L$2:$L$298)+SUMIF(Mercado_Receita!$S$2:$S$298,"44470B1ConvencionalResidencialResidencial baixa renda – faixa 02Não se aplicaNão se aplicaIntermediário",Mercado_Receita!$L$2:$L$298)+SUMIF(Mercado_Receita!$S$2:$S$298,"44470B1ConvencionalResidencialResidencial baixa renda – faixa 02Não se aplicaNão se aplicaNão se aplica",Mercado_Receita!$L$2:$L$298)</f>
        <v>5.5750000000000002</v>
      </c>
      <c r="P19" s="12">
        <f>SUMIF(Mercado_Receita!$S$2:$S$298,"44501B1ConvencionalResidencialResidencial baixa renda – faixa 02Não se aplicaNão se aplicaPonta",Mercado_Receita!$L$2:$L$298)+SUMIF(Mercado_Receita!$S$2:$S$298,"44501B1ConvencionalResidencialResidencial baixa renda – faixa 02Não se aplicaNão se aplicaFora ponta",Mercado_Receita!$L$2:$L$298)+SUMIF(Mercado_Receita!$S$2:$S$298,"44501B1ConvencionalResidencialResidencial baixa renda – faixa 02Não se aplicaNão se aplicaIntermediário",Mercado_Receita!$L$2:$L$298)+SUMIF(Mercado_Receita!$S$2:$S$298,"44501B1ConvencionalResidencialResidencial baixa renda – faixa 02Não se aplicaNão se aplicaNão se aplica",Mercado_Receita!$L$2:$L$298)</f>
        <v>5.9130000000000003</v>
      </c>
      <c r="Q19" s="12">
        <f>SUMIF(Mercado_Receita!$S$2:$S$298,"44531B1ConvencionalResidencialResidencial baixa renda – faixa 02Não se aplicaNão se aplicaPonta",Mercado_Receita!$L$2:$L$298)+SUMIF(Mercado_Receita!$S$2:$S$298,"44531B1ConvencionalResidencialResidencial baixa renda – faixa 02Não se aplicaNão se aplicaFora ponta",Mercado_Receita!$L$2:$L$298)+SUMIF(Mercado_Receita!$S$2:$S$298,"44531B1ConvencionalResidencialResidencial baixa renda – faixa 02Não se aplicaNão se aplicaIntermediário",Mercado_Receita!$L$2:$L$298)+SUMIF(Mercado_Receita!$S$2:$S$298,"44531B1ConvencionalResidencialResidencial baixa renda – faixa 02Não se aplicaNão se aplicaNão se aplica",Mercado_Receita!$L$2:$L$298)</f>
        <v>6.1269999999999998</v>
      </c>
      <c r="R19" s="12">
        <f>SUMIF(Mercado_Receita!$S$2:$S$298,"44562B1ConvencionalResidencialResidencial baixa renda – faixa 02Não se aplicaNão se aplicaPonta",Mercado_Receita!$L$2:$L$298)+SUMIF(Mercado_Receita!$S$2:$S$298,"44562B1ConvencionalResidencialResidencial baixa renda – faixa 02Não se aplicaNão se aplicaFora ponta",Mercado_Receita!$L$2:$L$298)+SUMIF(Mercado_Receita!$S$2:$S$298,"44562B1ConvencionalResidencialResidencial baixa renda – faixa 02Não se aplicaNão se aplicaIntermediário",Mercado_Receita!$L$2:$L$298)+SUMIF(Mercado_Receita!$S$2:$S$298,"44562B1ConvencionalResidencialResidencial baixa renda – faixa 02Não se aplicaNão se aplicaNão se aplica",Mercado_Receita!$L$2:$L$298)</f>
        <v>6.6760000000000002</v>
      </c>
      <c r="S19" s="12">
        <f>SUMIF(Mercado_Receita!$S$2:$S$298,"44593B1ConvencionalResidencialResidencial baixa renda – faixa 02Não se aplicaNão se aplicaPonta",Mercado_Receita!$L$2:$L$298)+SUMIF(Mercado_Receita!$S$2:$S$298,"44593B1ConvencionalResidencialResidencial baixa renda – faixa 02Não se aplicaNão se aplicaFora ponta",Mercado_Receita!$L$2:$L$298)+SUMIF(Mercado_Receita!$S$2:$S$298,"44593B1ConvencionalResidencialResidencial baixa renda – faixa 02Não se aplicaNão se aplicaIntermediário",Mercado_Receita!$L$2:$L$298)+SUMIF(Mercado_Receita!$S$2:$S$298,"44593B1ConvencionalResidencialResidencial baixa renda – faixa 02Não se aplicaNão se aplicaNão se aplica",Mercado_Receita!$L$2:$L$298)</f>
        <v>7.4710000000000001</v>
      </c>
      <c r="T19" s="12">
        <f>SUMIF(Mercado_Receita!$S$2:$S$298,"44621B1ConvencionalResidencialResidencial baixa renda – faixa 02Não se aplicaNão se aplicaPonta",Mercado_Receita!$L$2:$L$298)+SUMIF(Mercado_Receita!$S$2:$S$298,"44621B1ConvencionalResidencialResidencial baixa renda – faixa 02Não se aplicaNão se aplicaFora ponta",Mercado_Receita!$L$2:$L$298)+SUMIF(Mercado_Receita!$S$2:$S$298,"44621B1ConvencionalResidencialResidencial baixa renda – faixa 02Não se aplicaNão se aplicaIntermediário",Mercado_Receita!$L$2:$L$298)+SUMIF(Mercado_Receita!$S$2:$S$298,"44621B1ConvencionalResidencialResidencial baixa renda – faixa 02Não se aplicaNão se aplicaNão se aplica",Mercado_Receita!$L$2:$L$298)</f>
        <v>15.465</v>
      </c>
      <c r="U19" s="12">
        <f t="shared" si="0"/>
        <v>75.075000000000003</v>
      </c>
      <c r="V19" s="12"/>
      <c r="W19" s="12"/>
    </row>
    <row r="20" spans="1:23" ht="11.25" customHeight="1" x14ac:dyDescent="0.3">
      <c r="A20" s="107"/>
      <c r="B20" s="107"/>
      <c r="C20" s="107"/>
      <c r="D20" s="13" t="s">
        <v>31</v>
      </c>
      <c r="E20" s="13" t="s">
        <v>25</v>
      </c>
      <c r="F20" s="13" t="s">
        <v>25</v>
      </c>
      <c r="G20" s="12" t="s">
        <v>74</v>
      </c>
      <c r="H20" s="12" t="s">
        <v>67</v>
      </c>
      <c r="I20" s="12">
        <f>SUMIF(Mercado_Receita!$S$2:$S$298,"44287B1ConvencionalResidencialResidencial baixa renda – faixa 03Não se aplicaNão se aplicaPonta",Mercado_Receita!$L$2:$L$298)+SUMIF(Mercado_Receita!$S$2:$S$298,"44287B1ConvencionalResidencialResidencial baixa renda – faixa 03Não se aplicaNão se aplicaFora ponta",Mercado_Receita!$L$2:$L$298)+SUMIF(Mercado_Receita!$S$2:$S$298,"44287B1ConvencionalResidencialResidencial baixa renda – faixa 03Não se aplicaNão se aplicaIntermediário",Mercado_Receita!$L$2:$L$298)+SUMIF(Mercado_Receita!$S$2:$S$298,"44287B1ConvencionalResidencialResidencial baixa renda – faixa 03Não se aplicaNão se aplicaNão se aplica",Mercado_Receita!$L$2:$L$298)</f>
        <v>3.9220000000000002</v>
      </c>
      <c r="J20" s="12">
        <f>SUMIF(Mercado_Receita!$S$2:$S$298,"44317B1ConvencionalResidencialResidencial baixa renda – faixa 03Não se aplicaNão se aplicaPonta",Mercado_Receita!$L$2:$L$298)+SUMIF(Mercado_Receita!$S$2:$S$298,"44317B1ConvencionalResidencialResidencial baixa renda – faixa 03Não se aplicaNão se aplicaFora ponta",Mercado_Receita!$L$2:$L$298)+SUMIF(Mercado_Receita!$S$2:$S$298,"44317B1ConvencionalResidencialResidencial baixa renda – faixa 03Não se aplicaNão se aplicaIntermediário",Mercado_Receita!$L$2:$L$298)+SUMIF(Mercado_Receita!$S$2:$S$298,"44317B1ConvencionalResidencialResidencial baixa renda – faixa 03Não se aplicaNão se aplicaNão se aplica",Mercado_Receita!$L$2:$L$298)</f>
        <v>3.9279999999999999</v>
      </c>
      <c r="K20" s="12">
        <f>SUMIF(Mercado_Receita!$S$2:$S$298,"44348B1ConvencionalResidencialResidencial baixa renda – faixa 03Não se aplicaNão se aplicaPonta",Mercado_Receita!$L$2:$L$298)+SUMIF(Mercado_Receita!$S$2:$S$298,"44348B1ConvencionalResidencialResidencial baixa renda – faixa 03Não se aplicaNão se aplicaFora ponta",Mercado_Receita!$L$2:$L$298)+SUMIF(Mercado_Receita!$S$2:$S$298,"44348B1ConvencionalResidencialResidencial baixa renda – faixa 03Não se aplicaNão se aplicaIntermediário",Mercado_Receita!$L$2:$L$298)+SUMIF(Mercado_Receita!$S$2:$S$298,"44348B1ConvencionalResidencialResidencial baixa renda – faixa 03Não se aplicaNão se aplicaNão se aplica",Mercado_Receita!$L$2:$L$298)</f>
        <v>3.9359999999999999</v>
      </c>
      <c r="L20" s="12">
        <f>SUMIF(Mercado_Receita!$S$2:$S$298,"44378B1ConvencionalResidencialResidencial baixa renda – faixa 03Não se aplicaNão se aplicaPonta",Mercado_Receita!$L$2:$L$298)+SUMIF(Mercado_Receita!$S$2:$S$298,"44378B1ConvencionalResidencialResidencial baixa renda – faixa 03Não se aplicaNão se aplicaFora ponta",Mercado_Receita!$L$2:$L$298)+SUMIF(Mercado_Receita!$S$2:$S$298,"44378B1ConvencionalResidencialResidencial baixa renda – faixa 03Não se aplicaNão se aplicaIntermediário",Mercado_Receita!$L$2:$L$298)+SUMIF(Mercado_Receita!$S$2:$S$298,"44378B1ConvencionalResidencialResidencial baixa renda – faixa 03Não se aplicaNão se aplicaNão se aplica",Mercado_Receita!$L$2:$L$298)</f>
        <v>3.504</v>
      </c>
      <c r="M20" s="12">
        <f>SUMIF(Mercado_Receita!$S$2:$S$298,"44409B1ConvencionalResidencialResidencial baixa renda – faixa 03Não se aplicaNão se aplicaPonta",Mercado_Receita!$L$2:$L$298)+SUMIF(Mercado_Receita!$S$2:$S$298,"44409B1ConvencionalResidencialResidencial baixa renda – faixa 03Não se aplicaNão se aplicaFora ponta",Mercado_Receita!$L$2:$L$298)+SUMIF(Mercado_Receita!$S$2:$S$298,"44409B1ConvencionalResidencialResidencial baixa renda – faixa 03Não se aplicaNão se aplicaIntermediário",Mercado_Receita!$L$2:$L$298)+SUMIF(Mercado_Receita!$S$2:$S$298,"44409B1ConvencionalResidencialResidencial baixa renda – faixa 03Não se aplicaNão se aplicaNão se aplica",Mercado_Receita!$L$2:$L$298)</f>
        <v>3.903</v>
      </c>
      <c r="N20" s="12">
        <f>SUMIF(Mercado_Receita!$S$2:$S$298,"44440B1ConvencionalResidencialResidencial baixa renda – faixa 03Não se aplicaNão se aplicaPonta",Mercado_Receita!$L$2:$L$298)+SUMIF(Mercado_Receita!$S$2:$S$298,"44440B1ConvencionalResidencialResidencial baixa renda – faixa 03Não se aplicaNão se aplicaFora ponta",Mercado_Receita!$L$2:$L$298)+SUMIF(Mercado_Receita!$S$2:$S$298,"44440B1ConvencionalResidencialResidencial baixa renda – faixa 03Não se aplicaNão se aplicaIntermediário",Mercado_Receita!$L$2:$L$298)+SUMIF(Mercado_Receita!$S$2:$S$298,"44440B1ConvencionalResidencialResidencial baixa renda – faixa 03Não se aplicaNão se aplicaNão se aplica",Mercado_Receita!$L$2:$L$298)</f>
        <v>4.8330000000000002</v>
      </c>
      <c r="O20" s="12">
        <f>SUMIF(Mercado_Receita!$S$2:$S$298,"44470B1ConvencionalResidencialResidencial baixa renda – faixa 03Não se aplicaNão se aplicaPonta",Mercado_Receita!$L$2:$L$298)+SUMIF(Mercado_Receita!$S$2:$S$298,"44470B1ConvencionalResidencialResidencial baixa renda – faixa 03Não se aplicaNão se aplicaFora ponta",Mercado_Receita!$L$2:$L$298)+SUMIF(Mercado_Receita!$S$2:$S$298,"44470B1ConvencionalResidencialResidencial baixa renda – faixa 03Não se aplicaNão se aplicaIntermediário",Mercado_Receita!$L$2:$L$298)+SUMIF(Mercado_Receita!$S$2:$S$298,"44470B1ConvencionalResidencialResidencial baixa renda – faixa 03Não se aplicaNão se aplicaNão se aplica",Mercado_Receita!$L$2:$L$298)</f>
        <v>4.8239999999999998</v>
      </c>
      <c r="P20" s="12">
        <f>SUMIF(Mercado_Receita!$S$2:$S$298,"44501B1ConvencionalResidencialResidencial baixa renda – faixa 03Não se aplicaNão se aplicaPonta",Mercado_Receita!$L$2:$L$298)+SUMIF(Mercado_Receita!$S$2:$S$298,"44501B1ConvencionalResidencialResidencial baixa renda – faixa 03Não se aplicaNão se aplicaFora ponta",Mercado_Receita!$L$2:$L$298)+SUMIF(Mercado_Receita!$S$2:$S$298,"44501B1ConvencionalResidencialResidencial baixa renda – faixa 03Não se aplicaNão se aplicaIntermediário",Mercado_Receita!$L$2:$L$298)+SUMIF(Mercado_Receita!$S$2:$S$298,"44501B1ConvencionalResidencialResidencial baixa renda – faixa 03Não se aplicaNão se aplicaNão se aplica",Mercado_Receita!$L$2:$L$298)</f>
        <v>4.6840000000000002</v>
      </c>
      <c r="Q20" s="12">
        <f>SUMIF(Mercado_Receita!$S$2:$S$298,"44531B1ConvencionalResidencialResidencial baixa renda – faixa 03Não se aplicaNão se aplicaPonta",Mercado_Receita!$L$2:$L$298)+SUMIF(Mercado_Receita!$S$2:$S$298,"44531B1ConvencionalResidencialResidencial baixa renda – faixa 03Não se aplicaNão se aplicaFora ponta",Mercado_Receita!$L$2:$L$298)+SUMIF(Mercado_Receita!$S$2:$S$298,"44531B1ConvencionalResidencialResidencial baixa renda – faixa 03Não se aplicaNão se aplicaIntermediário",Mercado_Receita!$L$2:$L$298)+SUMIF(Mercado_Receita!$S$2:$S$298,"44531B1ConvencionalResidencialResidencial baixa renda – faixa 03Não se aplicaNão se aplicaNão se aplica",Mercado_Receita!$L$2:$L$298)</f>
        <v>5.4330000000000007</v>
      </c>
      <c r="R20" s="12">
        <f>SUMIF(Mercado_Receita!$S$2:$S$298,"44562B1ConvencionalResidencialResidencial baixa renda – faixa 03Não se aplicaNão se aplicaPonta",Mercado_Receita!$L$2:$L$298)+SUMIF(Mercado_Receita!$S$2:$S$298,"44562B1ConvencionalResidencialResidencial baixa renda – faixa 03Não se aplicaNão se aplicaFora ponta",Mercado_Receita!$L$2:$L$298)+SUMIF(Mercado_Receita!$S$2:$S$298,"44562B1ConvencionalResidencialResidencial baixa renda – faixa 03Não se aplicaNão se aplicaIntermediário",Mercado_Receita!$L$2:$L$298)+SUMIF(Mercado_Receita!$S$2:$S$298,"44562B1ConvencionalResidencialResidencial baixa renda – faixa 03Não se aplicaNão se aplicaNão se aplica",Mercado_Receita!$L$2:$L$298)</f>
        <v>6.1559999999999997</v>
      </c>
      <c r="S20" s="12">
        <f>SUMIF(Mercado_Receita!$S$2:$S$298,"44593B1ConvencionalResidencialResidencial baixa renda – faixa 03Não se aplicaNão se aplicaPonta",Mercado_Receita!$L$2:$L$298)+SUMIF(Mercado_Receita!$S$2:$S$298,"44593B1ConvencionalResidencialResidencial baixa renda – faixa 03Não se aplicaNão se aplicaFora ponta",Mercado_Receita!$L$2:$L$298)+SUMIF(Mercado_Receita!$S$2:$S$298,"44593B1ConvencionalResidencialResidencial baixa renda – faixa 03Não se aplicaNão se aplicaIntermediário",Mercado_Receita!$L$2:$L$298)+SUMIF(Mercado_Receita!$S$2:$S$298,"44593B1ConvencionalResidencialResidencial baixa renda – faixa 03Não se aplicaNão se aplicaNão se aplica",Mercado_Receita!$L$2:$L$298)</f>
        <v>6.8220000000000001</v>
      </c>
      <c r="T20" s="12">
        <f>SUMIF(Mercado_Receita!$S$2:$S$298,"44621B1ConvencionalResidencialResidencial baixa renda – faixa 03Não se aplicaNão se aplicaPonta",Mercado_Receita!$L$2:$L$298)+SUMIF(Mercado_Receita!$S$2:$S$298,"44621B1ConvencionalResidencialResidencial baixa renda – faixa 03Não se aplicaNão se aplicaFora ponta",Mercado_Receita!$L$2:$L$298)+SUMIF(Mercado_Receita!$S$2:$S$298,"44621B1ConvencionalResidencialResidencial baixa renda – faixa 03Não se aplicaNão se aplicaIntermediário",Mercado_Receita!$L$2:$L$298)+SUMIF(Mercado_Receita!$S$2:$S$298,"44621B1ConvencionalResidencialResidencial baixa renda – faixa 03Não se aplicaNão se aplicaNão se aplica",Mercado_Receita!$L$2:$L$298)</f>
        <v>12.817</v>
      </c>
      <c r="U20" s="12">
        <f t="shared" si="0"/>
        <v>64.762</v>
      </c>
      <c r="V20" s="12"/>
      <c r="W20" s="12"/>
    </row>
    <row r="21" spans="1:23" ht="11.25" customHeight="1" x14ac:dyDescent="0.3">
      <c r="A21" s="107"/>
      <c r="B21" s="107"/>
      <c r="C21" s="107"/>
      <c r="D21" s="13" t="s">
        <v>32</v>
      </c>
      <c r="E21" s="13" t="s">
        <v>25</v>
      </c>
      <c r="F21" s="13" t="s">
        <v>25</v>
      </c>
      <c r="G21" s="12" t="s">
        <v>74</v>
      </c>
      <c r="H21" s="12" t="s">
        <v>67</v>
      </c>
      <c r="I21" s="12">
        <f>SUMIF(Mercado_Receita!$S$2:$S$298,"44287B1ConvencionalResidencialResidencial baixa renda – faixa 04Não se aplicaNão se aplicaPonta",Mercado_Receita!$L$2:$L$298)+SUMIF(Mercado_Receita!$S$2:$S$298,"44287B1ConvencionalResidencialResidencial baixa renda – faixa 04Não se aplicaNão se aplicaFora ponta",Mercado_Receita!$L$2:$L$298)+SUMIF(Mercado_Receita!$S$2:$S$298,"44287B1ConvencionalResidencialResidencial baixa renda – faixa 04Não se aplicaNão se aplicaIntermediário",Mercado_Receita!$L$2:$L$298)+SUMIF(Mercado_Receita!$S$2:$S$298,"44287B1ConvencionalResidencialResidencial baixa renda – faixa 04Não se aplicaNão se aplicaNão se aplica",Mercado_Receita!$L$2:$L$298)</f>
        <v>1.7529999999999999</v>
      </c>
      <c r="J21" s="12">
        <f>SUMIF(Mercado_Receita!$S$2:$S$298,"44317B1ConvencionalResidencialResidencial baixa renda – faixa 04Não se aplicaNão se aplicaPonta",Mercado_Receita!$L$2:$L$298)+SUMIF(Mercado_Receita!$S$2:$S$298,"44317B1ConvencionalResidencialResidencial baixa renda – faixa 04Não se aplicaNão se aplicaFora ponta",Mercado_Receita!$L$2:$L$298)+SUMIF(Mercado_Receita!$S$2:$S$298,"44317B1ConvencionalResidencialResidencial baixa renda – faixa 04Não se aplicaNão se aplicaIntermediário",Mercado_Receita!$L$2:$L$298)+SUMIF(Mercado_Receita!$S$2:$S$298,"44317B1ConvencionalResidencialResidencial baixa renda – faixa 04Não se aplicaNão se aplicaNão se aplica",Mercado_Receita!$L$2:$L$298)</f>
        <v>1.304</v>
      </c>
      <c r="K21" s="12">
        <f>SUMIF(Mercado_Receita!$S$2:$S$298,"44348B1ConvencionalResidencialResidencial baixa renda – faixa 04Não se aplicaNão se aplicaPonta",Mercado_Receita!$L$2:$L$298)+SUMIF(Mercado_Receita!$S$2:$S$298,"44348B1ConvencionalResidencialResidencial baixa renda – faixa 04Não se aplicaNão se aplicaFora ponta",Mercado_Receita!$L$2:$L$298)+SUMIF(Mercado_Receita!$S$2:$S$298,"44348B1ConvencionalResidencialResidencial baixa renda – faixa 04Não se aplicaNão se aplicaIntermediário",Mercado_Receita!$L$2:$L$298)+SUMIF(Mercado_Receita!$S$2:$S$298,"44348B1ConvencionalResidencialResidencial baixa renda – faixa 04Não se aplicaNão se aplicaNão se aplica",Mercado_Receita!$L$2:$L$298)</f>
        <v>1.218</v>
      </c>
      <c r="L21" s="12">
        <f>SUMIF(Mercado_Receita!$S$2:$S$298,"44378B1ConvencionalResidencialResidencial baixa renda – faixa 04Não se aplicaNão se aplicaPonta",Mercado_Receita!$L$2:$L$298)+SUMIF(Mercado_Receita!$S$2:$S$298,"44378B1ConvencionalResidencialResidencial baixa renda – faixa 04Não se aplicaNão se aplicaFora ponta",Mercado_Receita!$L$2:$L$298)+SUMIF(Mercado_Receita!$S$2:$S$298,"44378B1ConvencionalResidencialResidencial baixa renda – faixa 04Não se aplicaNão se aplicaIntermediário",Mercado_Receita!$L$2:$L$298)+SUMIF(Mercado_Receita!$S$2:$S$298,"44378B1ConvencionalResidencialResidencial baixa renda – faixa 04Não se aplicaNão se aplicaNão se aplica",Mercado_Receita!$L$2:$L$298)</f>
        <v>1.37</v>
      </c>
      <c r="M21" s="12">
        <f>SUMIF(Mercado_Receita!$S$2:$S$298,"44409B1ConvencionalResidencialResidencial baixa renda – faixa 04Não se aplicaNão se aplicaPonta",Mercado_Receita!$L$2:$L$298)+SUMIF(Mercado_Receita!$S$2:$S$298,"44409B1ConvencionalResidencialResidencial baixa renda – faixa 04Não se aplicaNão se aplicaFora ponta",Mercado_Receita!$L$2:$L$298)+SUMIF(Mercado_Receita!$S$2:$S$298,"44409B1ConvencionalResidencialResidencial baixa renda – faixa 04Não se aplicaNão se aplicaIntermediário",Mercado_Receita!$L$2:$L$298)+SUMIF(Mercado_Receita!$S$2:$S$298,"44409B1ConvencionalResidencialResidencial baixa renda – faixa 04Não se aplicaNão se aplicaNão se aplica",Mercado_Receita!$L$2:$L$298)</f>
        <v>1.6919999999999999</v>
      </c>
      <c r="N21" s="12">
        <f>SUMIF(Mercado_Receita!$S$2:$S$298,"44440B1ConvencionalResidencialResidencial baixa renda – faixa 04Não se aplicaNão se aplicaPonta",Mercado_Receita!$L$2:$L$298)+SUMIF(Mercado_Receita!$S$2:$S$298,"44440B1ConvencionalResidencialResidencial baixa renda – faixa 04Não se aplicaNão se aplicaFora ponta",Mercado_Receita!$L$2:$L$298)+SUMIF(Mercado_Receita!$S$2:$S$298,"44440B1ConvencionalResidencialResidencial baixa renda – faixa 04Não se aplicaNão se aplicaIntermediário",Mercado_Receita!$L$2:$L$298)+SUMIF(Mercado_Receita!$S$2:$S$298,"44440B1ConvencionalResidencialResidencial baixa renda – faixa 04Não se aplicaNão se aplicaNão se aplica",Mercado_Receita!$L$2:$L$298)</f>
        <v>1.6379999999999999</v>
      </c>
      <c r="O21" s="12">
        <f>SUMIF(Mercado_Receita!$S$2:$S$298,"44470B1ConvencionalResidencialResidencial baixa renda – faixa 04Não se aplicaNão se aplicaPonta",Mercado_Receita!$L$2:$L$298)+SUMIF(Mercado_Receita!$S$2:$S$298,"44470B1ConvencionalResidencialResidencial baixa renda – faixa 04Não se aplicaNão se aplicaFora ponta",Mercado_Receita!$L$2:$L$298)+SUMIF(Mercado_Receita!$S$2:$S$298,"44470B1ConvencionalResidencialResidencial baixa renda – faixa 04Não se aplicaNão se aplicaIntermediário",Mercado_Receita!$L$2:$L$298)+SUMIF(Mercado_Receita!$S$2:$S$298,"44470B1ConvencionalResidencialResidencial baixa renda – faixa 04Não se aplicaNão se aplicaNão se aplica",Mercado_Receita!$L$2:$L$298)</f>
        <v>1.7350000000000001</v>
      </c>
      <c r="P21" s="12">
        <f>SUMIF(Mercado_Receita!$S$2:$S$298,"44501B1ConvencionalResidencialResidencial baixa renda – faixa 04Não se aplicaNão se aplicaPonta",Mercado_Receita!$L$2:$L$298)+SUMIF(Mercado_Receita!$S$2:$S$298,"44501B1ConvencionalResidencialResidencial baixa renda – faixa 04Não se aplicaNão se aplicaFora ponta",Mercado_Receita!$L$2:$L$298)+SUMIF(Mercado_Receita!$S$2:$S$298,"44501B1ConvencionalResidencialResidencial baixa renda – faixa 04Não se aplicaNão se aplicaIntermediário",Mercado_Receita!$L$2:$L$298)+SUMIF(Mercado_Receita!$S$2:$S$298,"44501B1ConvencionalResidencialResidencial baixa renda – faixa 04Não se aplicaNão se aplicaNão se aplica",Mercado_Receita!$L$2:$L$298)</f>
        <v>1.452</v>
      </c>
      <c r="Q21" s="12">
        <f>SUMIF(Mercado_Receita!$S$2:$S$298,"44531B1ConvencionalResidencialResidencial baixa renda – faixa 04Não se aplicaNão se aplicaPonta",Mercado_Receita!$L$2:$L$298)+SUMIF(Mercado_Receita!$S$2:$S$298,"44531B1ConvencionalResidencialResidencial baixa renda – faixa 04Não se aplicaNão se aplicaFora ponta",Mercado_Receita!$L$2:$L$298)+SUMIF(Mercado_Receita!$S$2:$S$298,"44531B1ConvencionalResidencialResidencial baixa renda – faixa 04Não se aplicaNão se aplicaIntermediário",Mercado_Receita!$L$2:$L$298)+SUMIF(Mercado_Receita!$S$2:$S$298,"44531B1ConvencionalResidencialResidencial baixa renda – faixa 04Não se aplicaNão se aplicaNão se aplica",Mercado_Receita!$L$2:$L$298)</f>
        <v>1.7949999999999999</v>
      </c>
      <c r="R21" s="12">
        <f>SUMIF(Mercado_Receita!$S$2:$S$298,"44562B1ConvencionalResidencialResidencial baixa renda – faixa 04Não se aplicaNão se aplicaPonta",Mercado_Receita!$L$2:$L$298)+SUMIF(Mercado_Receita!$S$2:$S$298,"44562B1ConvencionalResidencialResidencial baixa renda – faixa 04Não se aplicaNão se aplicaFora ponta",Mercado_Receita!$L$2:$L$298)+SUMIF(Mercado_Receita!$S$2:$S$298,"44562B1ConvencionalResidencialResidencial baixa renda – faixa 04Não se aplicaNão se aplicaIntermediário",Mercado_Receita!$L$2:$L$298)+SUMIF(Mercado_Receita!$S$2:$S$298,"44562B1ConvencionalResidencialResidencial baixa renda – faixa 04Não se aplicaNão se aplicaNão se aplica",Mercado_Receita!$L$2:$L$298)</f>
        <v>2.1150000000000002</v>
      </c>
      <c r="S21" s="12">
        <f>SUMIF(Mercado_Receita!$S$2:$S$298,"44593B1ConvencionalResidencialResidencial baixa renda – faixa 04Não se aplicaNão se aplicaPonta",Mercado_Receita!$L$2:$L$298)+SUMIF(Mercado_Receita!$S$2:$S$298,"44593B1ConvencionalResidencialResidencial baixa renda – faixa 04Não se aplicaNão se aplicaFora ponta",Mercado_Receita!$L$2:$L$298)+SUMIF(Mercado_Receita!$S$2:$S$298,"44593B1ConvencionalResidencialResidencial baixa renda – faixa 04Não se aplicaNão se aplicaIntermediário",Mercado_Receita!$L$2:$L$298)+SUMIF(Mercado_Receita!$S$2:$S$298,"44593B1ConvencionalResidencialResidencial baixa renda – faixa 04Não se aplicaNão se aplicaNão se aplica",Mercado_Receita!$L$2:$L$298)</f>
        <v>2.5640000000000001</v>
      </c>
      <c r="T21" s="12">
        <f>SUMIF(Mercado_Receita!$S$2:$S$298,"44621B1ConvencionalResidencialResidencial baixa renda – faixa 04Não se aplicaNão se aplicaPonta",Mercado_Receita!$L$2:$L$298)+SUMIF(Mercado_Receita!$S$2:$S$298,"44621B1ConvencionalResidencialResidencial baixa renda – faixa 04Não se aplicaNão se aplicaFora ponta",Mercado_Receita!$L$2:$L$298)+SUMIF(Mercado_Receita!$S$2:$S$298,"44621B1ConvencionalResidencialResidencial baixa renda – faixa 04Não se aplicaNão se aplicaIntermediário",Mercado_Receita!$L$2:$L$298)+SUMIF(Mercado_Receita!$S$2:$S$298,"44621B1ConvencionalResidencialResidencial baixa renda – faixa 04Não se aplicaNão se aplicaNão se aplica",Mercado_Receita!$L$2:$L$298)</f>
        <v>4.2779999999999996</v>
      </c>
      <c r="U21" s="12">
        <f t="shared" si="0"/>
        <v>22.914000000000001</v>
      </c>
      <c r="V21" s="12"/>
      <c r="W21" s="12"/>
    </row>
    <row r="22" spans="1:23" ht="11.25" customHeight="1" x14ac:dyDescent="0.3">
      <c r="A22" s="107"/>
      <c r="B22" s="106" t="s">
        <v>84</v>
      </c>
      <c r="C22" s="106" t="s">
        <v>24</v>
      </c>
      <c r="D22" s="13" t="s">
        <v>24</v>
      </c>
      <c r="E22" s="13" t="s">
        <v>25</v>
      </c>
      <c r="F22" s="13" t="s">
        <v>25</v>
      </c>
      <c r="G22" s="12" t="s">
        <v>74</v>
      </c>
      <c r="H22" s="12" t="s">
        <v>67</v>
      </c>
      <c r="I22" s="12">
        <f>SUMIF(Mercado_Receita!$S$2:$S$298,"44287B1Convencional pré-pagamentoResidencialResidencialNão se aplicaNão se aplicaPonta",Mercado_Receita!$L$2:$L$298)+SUMIF(Mercado_Receita!$S$2:$S$298,"44287B1Convencional pré-pagamentoResidencialResidencialNão se aplicaNão se aplicaFora ponta",Mercado_Receita!$L$2:$L$298)+SUMIF(Mercado_Receita!$S$2:$S$298,"44287B1Convencional pré-pagamentoResidencialResidencialNão se aplicaNão se aplicaIntermediário",Mercado_Receita!$L$2:$L$298)+SUMIF(Mercado_Receita!$S$2:$S$298,"44287B1Convencional pré-pagamentoResidencialResidencialNão se aplicaNão se aplicaNão se aplica",Mercado_Receita!$L$2:$L$298)</f>
        <v>0</v>
      </c>
      <c r="J22" s="12">
        <f>SUMIF(Mercado_Receita!$S$2:$S$298,"44317B1Convencional pré-pagamentoResidencialResidencialNão se aplicaNão se aplicaPonta",Mercado_Receita!$L$2:$L$298)+SUMIF(Mercado_Receita!$S$2:$S$298,"44317B1Convencional pré-pagamentoResidencialResidencialNão se aplicaNão se aplicaFora ponta",Mercado_Receita!$L$2:$L$298)+SUMIF(Mercado_Receita!$S$2:$S$298,"44317B1Convencional pré-pagamentoResidencialResidencialNão se aplicaNão se aplicaIntermediário",Mercado_Receita!$L$2:$L$298)+SUMIF(Mercado_Receita!$S$2:$S$298,"44317B1Convencional pré-pagamentoResidencialResidencialNão se aplicaNão se aplicaNão se aplica",Mercado_Receita!$L$2:$L$298)</f>
        <v>0</v>
      </c>
      <c r="K22" s="12">
        <f>SUMIF(Mercado_Receita!$S$2:$S$298,"44348B1Convencional pré-pagamentoResidencialResidencialNão se aplicaNão se aplicaPonta",Mercado_Receita!$L$2:$L$298)+SUMIF(Mercado_Receita!$S$2:$S$298,"44348B1Convencional pré-pagamentoResidencialResidencialNão se aplicaNão se aplicaFora ponta",Mercado_Receita!$L$2:$L$298)+SUMIF(Mercado_Receita!$S$2:$S$298,"44348B1Convencional pré-pagamentoResidencialResidencialNão se aplicaNão se aplicaIntermediário",Mercado_Receita!$L$2:$L$298)+SUMIF(Mercado_Receita!$S$2:$S$298,"44348B1Convencional pré-pagamentoResidencialResidencialNão se aplicaNão se aplicaNão se aplica",Mercado_Receita!$L$2:$L$298)</f>
        <v>0</v>
      </c>
      <c r="L22" s="12">
        <f>SUMIF(Mercado_Receita!$S$2:$S$298,"44378B1Convencional pré-pagamentoResidencialResidencialNão se aplicaNão se aplicaPonta",Mercado_Receita!$L$2:$L$298)+SUMIF(Mercado_Receita!$S$2:$S$298,"44378B1Convencional pré-pagamentoResidencialResidencialNão se aplicaNão se aplicaFora ponta",Mercado_Receita!$L$2:$L$298)+SUMIF(Mercado_Receita!$S$2:$S$298,"44378B1Convencional pré-pagamentoResidencialResidencialNão se aplicaNão se aplicaIntermediário",Mercado_Receita!$L$2:$L$298)+SUMIF(Mercado_Receita!$S$2:$S$298,"44378B1Convencional pré-pagamentoResidencialResidencialNão se aplicaNão se aplicaNão se aplica",Mercado_Receita!$L$2:$L$298)</f>
        <v>0</v>
      </c>
      <c r="M22" s="12">
        <f>SUMIF(Mercado_Receita!$S$2:$S$298,"44409B1Convencional pré-pagamentoResidencialResidencialNão se aplicaNão se aplicaPonta",Mercado_Receita!$L$2:$L$298)+SUMIF(Mercado_Receita!$S$2:$S$298,"44409B1Convencional pré-pagamentoResidencialResidencialNão se aplicaNão se aplicaFora ponta",Mercado_Receita!$L$2:$L$298)+SUMIF(Mercado_Receita!$S$2:$S$298,"44409B1Convencional pré-pagamentoResidencialResidencialNão se aplicaNão se aplicaIntermediário",Mercado_Receita!$L$2:$L$298)+SUMIF(Mercado_Receita!$S$2:$S$298,"44409B1Convencional pré-pagamentoResidencialResidencialNão se aplicaNão se aplicaNão se aplica",Mercado_Receita!$L$2:$L$298)</f>
        <v>0</v>
      </c>
      <c r="N22" s="12">
        <f>SUMIF(Mercado_Receita!$S$2:$S$298,"44440B1Convencional pré-pagamentoResidencialResidencialNão se aplicaNão se aplicaPonta",Mercado_Receita!$L$2:$L$298)+SUMIF(Mercado_Receita!$S$2:$S$298,"44440B1Convencional pré-pagamentoResidencialResidencialNão se aplicaNão se aplicaFora ponta",Mercado_Receita!$L$2:$L$298)+SUMIF(Mercado_Receita!$S$2:$S$298,"44440B1Convencional pré-pagamentoResidencialResidencialNão se aplicaNão se aplicaIntermediário",Mercado_Receita!$L$2:$L$298)+SUMIF(Mercado_Receita!$S$2:$S$298,"44440B1Convencional pré-pagamentoResidencialResidencialNão se aplicaNão se aplicaNão se aplica",Mercado_Receita!$L$2:$L$298)</f>
        <v>0</v>
      </c>
      <c r="O22" s="12">
        <f>SUMIF(Mercado_Receita!$S$2:$S$298,"44470B1Convencional pré-pagamentoResidencialResidencialNão se aplicaNão se aplicaPonta",Mercado_Receita!$L$2:$L$298)+SUMIF(Mercado_Receita!$S$2:$S$298,"44470B1Convencional pré-pagamentoResidencialResidencialNão se aplicaNão se aplicaFora ponta",Mercado_Receita!$L$2:$L$298)+SUMIF(Mercado_Receita!$S$2:$S$298,"44470B1Convencional pré-pagamentoResidencialResidencialNão se aplicaNão se aplicaIntermediário",Mercado_Receita!$L$2:$L$298)+SUMIF(Mercado_Receita!$S$2:$S$298,"44470B1Convencional pré-pagamentoResidencialResidencialNão se aplicaNão se aplicaNão se aplica",Mercado_Receita!$L$2:$L$298)</f>
        <v>0</v>
      </c>
      <c r="P22" s="12">
        <f>SUMIF(Mercado_Receita!$S$2:$S$298,"44501B1Convencional pré-pagamentoResidencialResidencialNão se aplicaNão se aplicaPonta",Mercado_Receita!$L$2:$L$298)+SUMIF(Mercado_Receita!$S$2:$S$298,"44501B1Convencional pré-pagamentoResidencialResidencialNão se aplicaNão se aplicaFora ponta",Mercado_Receita!$L$2:$L$298)+SUMIF(Mercado_Receita!$S$2:$S$298,"44501B1Convencional pré-pagamentoResidencialResidencialNão se aplicaNão se aplicaIntermediário",Mercado_Receita!$L$2:$L$298)+SUMIF(Mercado_Receita!$S$2:$S$298,"44501B1Convencional pré-pagamentoResidencialResidencialNão se aplicaNão se aplicaNão se aplica",Mercado_Receita!$L$2:$L$298)</f>
        <v>0</v>
      </c>
      <c r="Q22" s="12">
        <f>SUMIF(Mercado_Receita!$S$2:$S$298,"44531B1Convencional pré-pagamentoResidencialResidencialNão se aplicaNão se aplicaPonta",Mercado_Receita!$L$2:$L$298)+SUMIF(Mercado_Receita!$S$2:$S$298,"44531B1Convencional pré-pagamentoResidencialResidencialNão se aplicaNão se aplicaFora ponta",Mercado_Receita!$L$2:$L$298)+SUMIF(Mercado_Receita!$S$2:$S$298,"44531B1Convencional pré-pagamentoResidencialResidencialNão se aplicaNão se aplicaIntermediário",Mercado_Receita!$L$2:$L$298)+SUMIF(Mercado_Receita!$S$2:$S$298,"44531B1Convencional pré-pagamentoResidencialResidencialNão se aplicaNão se aplicaNão se aplica",Mercado_Receita!$L$2:$L$298)</f>
        <v>0</v>
      </c>
      <c r="R22" s="12">
        <f>SUMIF(Mercado_Receita!$S$2:$S$298,"44562B1Convencional pré-pagamentoResidencialResidencialNão se aplicaNão se aplicaPonta",Mercado_Receita!$L$2:$L$298)+SUMIF(Mercado_Receita!$S$2:$S$298,"44562B1Convencional pré-pagamentoResidencialResidencialNão se aplicaNão se aplicaFora ponta",Mercado_Receita!$L$2:$L$298)+SUMIF(Mercado_Receita!$S$2:$S$298,"44562B1Convencional pré-pagamentoResidencialResidencialNão se aplicaNão se aplicaIntermediário",Mercado_Receita!$L$2:$L$298)+SUMIF(Mercado_Receita!$S$2:$S$298,"44562B1Convencional pré-pagamentoResidencialResidencialNão se aplicaNão se aplicaNão se aplica",Mercado_Receita!$L$2:$L$298)</f>
        <v>0</v>
      </c>
      <c r="S22" s="12">
        <f>SUMIF(Mercado_Receita!$S$2:$S$298,"44593B1Convencional pré-pagamentoResidencialResidencialNão se aplicaNão se aplicaPonta",Mercado_Receita!$L$2:$L$298)+SUMIF(Mercado_Receita!$S$2:$S$298,"44593B1Convencional pré-pagamentoResidencialResidencialNão se aplicaNão se aplicaFora ponta",Mercado_Receita!$L$2:$L$298)+SUMIF(Mercado_Receita!$S$2:$S$298,"44593B1Convencional pré-pagamentoResidencialResidencialNão se aplicaNão se aplicaIntermediário",Mercado_Receita!$L$2:$L$298)+SUMIF(Mercado_Receita!$S$2:$S$298,"44593B1Convencional pré-pagamentoResidencialResidencialNão se aplicaNão se aplicaNão se aplica",Mercado_Receita!$L$2:$L$298)</f>
        <v>0</v>
      </c>
      <c r="T22" s="12">
        <f>SUMIF(Mercado_Receita!$S$2:$S$298,"44621B1Convencional pré-pagamentoResidencialResidencialNão se aplicaNão se aplicaPonta",Mercado_Receita!$L$2:$L$298)+SUMIF(Mercado_Receita!$S$2:$S$298,"44621B1Convencional pré-pagamentoResidencialResidencialNão se aplicaNão se aplicaFora ponta",Mercado_Receita!$L$2:$L$298)+SUMIF(Mercado_Receita!$S$2:$S$298,"44621B1Convencional pré-pagamentoResidencialResidencialNão se aplicaNão se aplicaIntermediário",Mercado_Receita!$L$2:$L$298)+SUMIF(Mercado_Receita!$S$2:$S$298,"44621B1Convencional pré-pagamentoResidencialResidencialNão se aplicaNão se aplicaNão se aplica",Mercado_Receita!$L$2:$L$298)</f>
        <v>0</v>
      </c>
      <c r="U22" s="12">
        <f t="shared" si="0"/>
        <v>0</v>
      </c>
      <c r="V22" s="12"/>
      <c r="W22" s="12"/>
    </row>
    <row r="23" spans="1:23" ht="11.25" customHeight="1" x14ac:dyDescent="0.3">
      <c r="A23" s="107"/>
      <c r="B23" s="107"/>
      <c r="C23" s="107"/>
      <c r="D23" s="13" t="s">
        <v>29</v>
      </c>
      <c r="E23" s="13" t="s">
        <v>25</v>
      </c>
      <c r="F23" s="13" t="s">
        <v>25</v>
      </c>
      <c r="G23" s="12" t="s">
        <v>74</v>
      </c>
      <c r="H23" s="12" t="s">
        <v>67</v>
      </c>
      <c r="I23" s="12">
        <f>SUMIF(Mercado_Receita!$S$2:$S$298,"44287B1Convencional pré-pagamentoResidencialResidencial baixa renda – faixa 01Não se aplicaNão se aplicaPonta",Mercado_Receita!$L$2:$L$298)+SUMIF(Mercado_Receita!$S$2:$S$298,"44287B1Convencional pré-pagamentoResidencialResidencial baixa renda – faixa 01Não se aplicaNão se aplicaFora ponta",Mercado_Receita!$L$2:$L$298)+SUMIF(Mercado_Receita!$S$2:$S$298,"44287B1Convencional pré-pagamentoResidencialResidencial baixa renda – faixa 01Não se aplicaNão se aplicaIntermediário",Mercado_Receita!$L$2:$L$298)+SUMIF(Mercado_Receita!$S$2:$S$298,"44287B1Convencional pré-pagamentoResidencialResidencial baixa renda – faixa 01Não se aplicaNão se aplicaNão se aplica",Mercado_Receita!$L$2:$L$298)</f>
        <v>0</v>
      </c>
      <c r="J23" s="12">
        <f>SUMIF(Mercado_Receita!$S$2:$S$298,"44317B1Convencional pré-pagamentoResidencialResidencial baixa renda – faixa 01Não se aplicaNão se aplicaPonta",Mercado_Receita!$L$2:$L$298)+SUMIF(Mercado_Receita!$S$2:$S$298,"44317B1Convencional pré-pagamentoResidencialResidencial baixa renda – faixa 01Não se aplicaNão se aplicaFora ponta",Mercado_Receita!$L$2:$L$298)+SUMIF(Mercado_Receita!$S$2:$S$298,"44317B1Convencional pré-pagamentoResidencialResidencial baixa renda – faixa 01Não se aplicaNão se aplicaIntermediário",Mercado_Receita!$L$2:$L$298)+SUMIF(Mercado_Receita!$S$2:$S$298,"44317B1Convencional pré-pagamentoResidencialResidencial baixa renda – faixa 01Não se aplicaNão se aplicaNão se aplica",Mercado_Receita!$L$2:$L$298)</f>
        <v>0</v>
      </c>
      <c r="K23" s="12">
        <f>SUMIF(Mercado_Receita!$S$2:$S$298,"44348B1Convencional pré-pagamentoResidencialResidencial baixa renda – faixa 01Não se aplicaNão se aplicaPonta",Mercado_Receita!$L$2:$L$298)+SUMIF(Mercado_Receita!$S$2:$S$298,"44348B1Convencional pré-pagamentoResidencialResidencial baixa renda – faixa 01Não se aplicaNão se aplicaFora ponta",Mercado_Receita!$L$2:$L$298)+SUMIF(Mercado_Receita!$S$2:$S$298,"44348B1Convencional pré-pagamentoResidencialResidencial baixa renda – faixa 01Não se aplicaNão se aplicaIntermediário",Mercado_Receita!$L$2:$L$298)+SUMIF(Mercado_Receita!$S$2:$S$298,"44348B1Convencional pré-pagamentoResidencialResidencial baixa renda – faixa 01Não se aplicaNão se aplicaNão se aplica",Mercado_Receita!$L$2:$L$298)</f>
        <v>0</v>
      </c>
      <c r="L23" s="12">
        <f>SUMIF(Mercado_Receita!$S$2:$S$298,"44378B1Convencional pré-pagamentoResidencialResidencial baixa renda – faixa 01Não se aplicaNão se aplicaPonta",Mercado_Receita!$L$2:$L$298)+SUMIF(Mercado_Receita!$S$2:$S$298,"44378B1Convencional pré-pagamentoResidencialResidencial baixa renda – faixa 01Não se aplicaNão se aplicaFora ponta",Mercado_Receita!$L$2:$L$298)+SUMIF(Mercado_Receita!$S$2:$S$298,"44378B1Convencional pré-pagamentoResidencialResidencial baixa renda – faixa 01Não se aplicaNão se aplicaIntermediário",Mercado_Receita!$L$2:$L$298)+SUMIF(Mercado_Receita!$S$2:$S$298,"44378B1Convencional pré-pagamentoResidencialResidencial baixa renda – faixa 01Não se aplicaNão se aplicaNão se aplica",Mercado_Receita!$L$2:$L$298)</f>
        <v>0</v>
      </c>
      <c r="M23" s="12">
        <f>SUMIF(Mercado_Receita!$S$2:$S$298,"44409B1Convencional pré-pagamentoResidencialResidencial baixa renda – faixa 01Não se aplicaNão se aplicaPonta",Mercado_Receita!$L$2:$L$298)+SUMIF(Mercado_Receita!$S$2:$S$298,"44409B1Convencional pré-pagamentoResidencialResidencial baixa renda – faixa 01Não se aplicaNão se aplicaFora ponta",Mercado_Receita!$L$2:$L$298)+SUMIF(Mercado_Receita!$S$2:$S$298,"44409B1Convencional pré-pagamentoResidencialResidencial baixa renda – faixa 01Não se aplicaNão se aplicaIntermediário",Mercado_Receita!$L$2:$L$298)+SUMIF(Mercado_Receita!$S$2:$S$298,"44409B1Convencional pré-pagamentoResidencialResidencial baixa renda – faixa 01Não se aplicaNão se aplicaNão se aplica",Mercado_Receita!$L$2:$L$298)</f>
        <v>0</v>
      </c>
      <c r="N23" s="12">
        <f>SUMIF(Mercado_Receita!$S$2:$S$298,"44440B1Convencional pré-pagamentoResidencialResidencial baixa renda – faixa 01Não se aplicaNão se aplicaPonta",Mercado_Receita!$L$2:$L$298)+SUMIF(Mercado_Receita!$S$2:$S$298,"44440B1Convencional pré-pagamentoResidencialResidencial baixa renda – faixa 01Não se aplicaNão se aplicaFora ponta",Mercado_Receita!$L$2:$L$298)+SUMIF(Mercado_Receita!$S$2:$S$298,"44440B1Convencional pré-pagamentoResidencialResidencial baixa renda – faixa 01Não se aplicaNão se aplicaIntermediário",Mercado_Receita!$L$2:$L$298)+SUMIF(Mercado_Receita!$S$2:$S$298,"44440B1Convencional pré-pagamentoResidencialResidencial baixa renda – faixa 01Não se aplicaNão se aplicaNão se aplica",Mercado_Receita!$L$2:$L$298)</f>
        <v>0</v>
      </c>
      <c r="O23" s="12">
        <f>SUMIF(Mercado_Receita!$S$2:$S$298,"44470B1Convencional pré-pagamentoResidencialResidencial baixa renda – faixa 01Não se aplicaNão se aplicaPonta",Mercado_Receita!$L$2:$L$298)+SUMIF(Mercado_Receita!$S$2:$S$298,"44470B1Convencional pré-pagamentoResidencialResidencial baixa renda – faixa 01Não se aplicaNão se aplicaFora ponta",Mercado_Receita!$L$2:$L$298)+SUMIF(Mercado_Receita!$S$2:$S$298,"44470B1Convencional pré-pagamentoResidencialResidencial baixa renda – faixa 01Não se aplicaNão se aplicaIntermediário",Mercado_Receita!$L$2:$L$298)+SUMIF(Mercado_Receita!$S$2:$S$298,"44470B1Convencional pré-pagamentoResidencialResidencial baixa renda – faixa 01Não se aplicaNão se aplicaNão se aplica",Mercado_Receita!$L$2:$L$298)</f>
        <v>0</v>
      </c>
      <c r="P23" s="12">
        <f>SUMIF(Mercado_Receita!$S$2:$S$298,"44501B1Convencional pré-pagamentoResidencialResidencial baixa renda – faixa 01Não se aplicaNão se aplicaPonta",Mercado_Receita!$L$2:$L$298)+SUMIF(Mercado_Receita!$S$2:$S$298,"44501B1Convencional pré-pagamentoResidencialResidencial baixa renda – faixa 01Não se aplicaNão se aplicaFora ponta",Mercado_Receita!$L$2:$L$298)+SUMIF(Mercado_Receita!$S$2:$S$298,"44501B1Convencional pré-pagamentoResidencialResidencial baixa renda – faixa 01Não se aplicaNão se aplicaIntermediário",Mercado_Receita!$L$2:$L$298)+SUMIF(Mercado_Receita!$S$2:$S$298,"44501B1Convencional pré-pagamentoResidencialResidencial baixa renda – faixa 01Não se aplicaNão se aplicaNão se aplica",Mercado_Receita!$L$2:$L$298)</f>
        <v>0</v>
      </c>
      <c r="Q23" s="12">
        <f>SUMIF(Mercado_Receita!$S$2:$S$298,"44531B1Convencional pré-pagamentoResidencialResidencial baixa renda – faixa 01Não se aplicaNão se aplicaPonta",Mercado_Receita!$L$2:$L$298)+SUMIF(Mercado_Receita!$S$2:$S$298,"44531B1Convencional pré-pagamentoResidencialResidencial baixa renda – faixa 01Não se aplicaNão se aplicaFora ponta",Mercado_Receita!$L$2:$L$298)+SUMIF(Mercado_Receita!$S$2:$S$298,"44531B1Convencional pré-pagamentoResidencialResidencial baixa renda – faixa 01Não se aplicaNão se aplicaIntermediário",Mercado_Receita!$L$2:$L$298)+SUMIF(Mercado_Receita!$S$2:$S$298,"44531B1Convencional pré-pagamentoResidencialResidencial baixa renda – faixa 01Não se aplicaNão se aplicaNão se aplica",Mercado_Receita!$L$2:$L$298)</f>
        <v>0</v>
      </c>
      <c r="R23" s="12">
        <f>SUMIF(Mercado_Receita!$S$2:$S$298,"44562B1Convencional pré-pagamentoResidencialResidencial baixa renda – faixa 01Não se aplicaNão se aplicaPonta",Mercado_Receita!$L$2:$L$298)+SUMIF(Mercado_Receita!$S$2:$S$298,"44562B1Convencional pré-pagamentoResidencialResidencial baixa renda – faixa 01Não se aplicaNão se aplicaFora ponta",Mercado_Receita!$L$2:$L$298)+SUMIF(Mercado_Receita!$S$2:$S$298,"44562B1Convencional pré-pagamentoResidencialResidencial baixa renda – faixa 01Não se aplicaNão se aplicaIntermediário",Mercado_Receita!$L$2:$L$298)+SUMIF(Mercado_Receita!$S$2:$S$298,"44562B1Convencional pré-pagamentoResidencialResidencial baixa renda – faixa 01Não se aplicaNão se aplicaNão se aplica",Mercado_Receita!$L$2:$L$298)</f>
        <v>0</v>
      </c>
      <c r="S23" s="12">
        <f>SUMIF(Mercado_Receita!$S$2:$S$298,"44593B1Convencional pré-pagamentoResidencialResidencial baixa renda – faixa 01Não se aplicaNão se aplicaPonta",Mercado_Receita!$L$2:$L$298)+SUMIF(Mercado_Receita!$S$2:$S$298,"44593B1Convencional pré-pagamentoResidencialResidencial baixa renda – faixa 01Não se aplicaNão se aplicaFora ponta",Mercado_Receita!$L$2:$L$298)+SUMIF(Mercado_Receita!$S$2:$S$298,"44593B1Convencional pré-pagamentoResidencialResidencial baixa renda – faixa 01Não se aplicaNão se aplicaIntermediário",Mercado_Receita!$L$2:$L$298)+SUMIF(Mercado_Receita!$S$2:$S$298,"44593B1Convencional pré-pagamentoResidencialResidencial baixa renda – faixa 01Não se aplicaNão se aplicaNão se aplica",Mercado_Receita!$L$2:$L$298)</f>
        <v>0</v>
      </c>
      <c r="T23" s="12">
        <f>SUMIF(Mercado_Receita!$S$2:$S$298,"44621B1Convencional pré-pagamentoResidencialResidencial baixa renda – faixa 01Não se aplicaNão se aplicaPonta",Mercado_Receita!$L$2:$L$298)+SUMIF(Mercado_Receita!$S$2:$S$298,"44621B1Convencional pré-pagamentoResidencialResidencial baixa renda – faixa 01Não se aplicaNão se aplicaFora ponta",Mercado_Receita!$L$2:$L$298)+SUMIF(Mercado_Receita!$S$2:$S$298,"44621B1Convencional pré-pagamentoResidencialResidencial baixa renda – faixa 01Não se aplicaNão se aplicaIntermediário",Mercado_Receita!$L$2:$L$298)+SUMIF(Mercado_Receita!$S$2:$S$298,"44621B1Convencional pré-pagamentoResidencialResidencial baixa renda – faixa 01Não se aplicaNão se aplicaNão se aplica",Mercado_Receita!$L$2:$L$298)</f>
        <v>0</v>
      </c>
      <c r="U23" s="12">
        <f t="shared" si="0"/>
        <v>0</v>
      </c>
      <c r="V23" s="12"/>
      <c r="W23" s="12"/>
    </row>
    <row r="24" spans="1:23" ht="11.25" customHeight="1" x14ac:dyDescent="0.3">
      <c r="A24" s="107"/>
      <c r="B24" s="107"/>
      <c r="C24" s="107"/>
      <c r="D24" s="13" t="s">
        <v>30</v>
      </c>
      <c r="E24" s="13" t="s">
        <v>25</v>
      </c>
      <c r="F24" s="13" t="s">
        <v>25</v>
      </c>
      <c r="G24" s="12" t="s">
        <v>74</v>
      </c>
      <c r="H24" s="12" t="s">
        <v>67</v>
      </c>
      <c r="I24" s="12">
        <f>SUMIF(Mercado_Receita!$S$2:$S$298,"44287B1Convencional pré-pagamentoResidencialResidencial baixa renda – faixa 02Não se aplicaNão se aplicaPonta",Mercado_Receita!$L$2:$L$298)+SUMIF(Mercado_Receita!$S$2:$S$298,"44287B1Convencional pré-pagamentoResidencialResidencial baixa renda – faixa 02Não se aplicaNão se aplicaFora ponta",Mercado_Receita!$L$2:$L$298)+SUMIF(Mercado_Receita!$S$2:$S$298,"44287B1Convencional pré-pagamentoResidencialResidencial baixa renda – faixa 02Não se aplicaNão se aplicaIntermediário",Mercado_Receita!$L$2:$L$298)+SUMIF(Mercado_Receita!$S$2:$S$298,"44287B1Convencional pré-pagamentoResidencialResidencial baixa renda – faixa 02Não se aplicaNão se aplicaNão se aplica",Mercado_Receita!$L$2:$L$298)</f>
        <v>0</v>
      </c>
      <c r="J24" s="12">
        <f>SUMIF(Mercado_Receita!$S$2:$S$298,"44317B1Convencional pré-pagamentoResidencialResidencial baixa renda – faixa 02Não se aplicaNão se aplicaPonta",Mercado_Receita!$L$2:$L$298)+SUMIF(Mercado_Receita!$S$2:$S$298,"44317B1Convencional pré-pagamentoResidencialResidencial baixa renda – faixa 02Não se aplicaNão se aplicaFora ponta",Mercado_Receita!$L$2:$L$298)+SUMIF(Mercado_Receita!$S$2:$S$298,"44317B1Convencional pré-pagamentoResidencialResidencial baixa renda – faixa 02Não se aplicaNão se aplicaIntermediário",Mercado_Receita!$L$2:$L$298)+SUMIF(Mercado_Receita!$S$2:$S$298,"44317B1Convencional pré-pagamentoResidencialResidencial baixa renda – faixa 02Não se aplicaNão se aplicaNão se aplica",Mercado_Receita!$L$2:$L$298)</f>
        <v>0</v>
      </c>
      <c r="K24" s="12">
        <f>SUMIF(Mercado_Receita!$S$2:$S$298,"44348B1Convencional pré-pagamentoResidencialResidencial baixa renda – faixa 02Não se aplicaNão se aplicaPonta",Mercado_Receita!$L$2:$L$298)+SUMIF(Mercado_Receita!$S$2:$S$298,"44348B1Convencional pré-pagamentoResidencialResidencial baixa renda – faixa 02Não se aplicaNão se aplicaFora ponta",Mercado_Receita!$L$2:$L$298)+SUMIF(Mercado_Receita!$S$2:$S$298,"44348B1Convencional pré-pagamentoResidencialResidencial baixa renda – faixa 02Não se aplicaNão se aplicaIntermediário",Mercado_Receita!$L$2:$L$298)+SUMIF(Mercado_Receita!$S$2:$S$298,"44348B1Convencional pré-pagamentoResidencialResidencial baixa renda – faixa 02Não se aplicaNão se aplicaNão se aplica",Mercado_Receita!$L$2:$L$298)</f>
        <v>0</v>
      </c>
      <c r="L24" s="12">
        <f>SUMIF(Mercado_Receita!$S$2:$S$298,"44378B1Convencional pré-pagamentoResidencialResidencial baixa renda – faixa 02Não se aplicaNão se aplicaPonta",Mercado_Receita!$L$2:$L$298)+SUMIF(Mercado_Receita!$S$2:$S$298,"44378B1Convencional pré-pagamentoResidencialResidencial baixa renda – faixa 02Não se aplicaNão se aplicaFora ponta",Mercado_Receita!$L$2:$L$298)+SUMIF(Mercado_Receita!$S$2:$S$298,"44378B1Convencional pré-pagamentoResidencialResidencial baixa renda – faixa 02Não se aplicaNão se aplicaIntermediário",Mercado_Receita!$L$2:$L$298)+SUMIF(Mercado_Receita!$S$2:$S$298,"44378B1Convencional pré-pagamentoResidencialResidencial baixa renda – faixa 02Não se aplicaNão se aplicaNão se aplica",Mercado_Receita!$L$2:$L$298)</f>
        <v>0</v>
      </c>
      <c r="M24" s="12">
        <f>SUMIF(Mercado_Receita!$S$2:$S$298,"44409B1Convencional pré-pagamentoResidencialResidencial baixa renda – faixa 02Não se aplicaNão se aplicaPonta",Mercado_Receita!$L$2:$L$298)+SUMIF(Mercado_Receita!$S$2:$S$298,"44409B1Convencional pré-pagamentoResidencialResidencial baixa renda – faixa 02Não se aplicaNão se aplicaFora ponta",Mercado_Receita!$L$2:$L$298)+SUMIF(Mercado_Receita!$S$2:$S$298,"44409B1Convencional pré-pagamentoResidencialResidencial baixa renda – faixa 02Não se aplicaNão se aplicaIntermediário",Mercado_Receita!$L$2:$L$298)+SUMIF(Mercado_Receita!$S$2:$S$298,"44409B1Convencional pré-pagamentoResidencialResidencial baixa renda – faixa 02Não se aplicaNão se aplicaNão se aplica",Mercado_Receita!$L$2:$L$298)</f>
        <v>0</v>
      </c>
      <c r="N24" s="12">
        <f>SUMIF(Mercado_Receita!$S$2:$S$298,"44440B1Convencional pré-pagamentoResidencialResidencial baixa renda – faixa 02Não se aplicaNão se aplicaPonta",Mercado_Receita!$L$2:$L$298)+SUMIF(Mercado_Receita!$S$2:$S$298,"44440B1Convencional pré-pagamentoResidencialResidencial baixa renda – faixa 02Não se aplicaNão se aplicaFora ponta",Mercado_Receita!$L$2:$L$298)+SUMIF(Mercado_Receita!$S$2:$S$298,"44440B1Convencional pré-pagamentoResidencialResidencial baixa renda – faixa 02Não se aplicaNão se aplicaIntermediário",Mercado_Receita!$L$2:$L$298)+SUMIF(Mercado_Receita!$S$2:$S$298,"44440B1Convencional pré-pagamentoResidencialResidencial baixa renda – faixa 02Não se aplicaNão se aplicaNão se aplica",Mercado_Receita!$L$2:$L$298)</f>
        <v>0</v>
      </c>
      <c r="O24" s="12">
        <f>SUMIF(Mercado_Receita!$S$2:$S$298,"44470B1Convencional pré-pagamentoResidencialResidencial baixa renda – faixa 02Não se aplicaNão se aplicaPonta",Mercado_Receita!$L$2:$L$298)+SUMIF(Mercado_Receita!$S$2:$S$298,"44470B1Convencional pré-pagamentoResidencialResidencial baixa renda – faixa 02Não se aplicaNão se aplicaFora ponta",Mercado_Receita!$L$2:$L$298)+SUMIF(Mercado_Receita!$S$2:$S$298,"44470B1Convencional pré-pagamentoResidencialResidencial baixa renda – faixa 02Não se aplicaNão se aplicaIntermediário",Mercado_Receita!$L$2:$L$298)+SUMIF(Mercado_Receita!$S$2:$S$298,"44470B1Convencional pré-pagamentoResidencialResidencial baixa renda – faixa 02Não se aplicaNão se aplicaNão se aplica",Mercado_Receita!$L$2:$L$298)</f>
        <v>0</v>
      </c>
      <c r="P24" s="12">
        <f>SUMIF(Mercado_Receita!$S$2:$S$298,"44501B1Convencional pré-pagamentoResidencialResidencial baixa renda – faixa 02Não se aplicaNão se aplicaPonta",Mercado_Receita!$L$2:$L$298)+SUMIF(Mercado_Receita!$S$2:$S$298,"44501B1Convencional pré-pagamentoResidencialResidencial baixa renda – faixa 02Não se aplicaNão se aplicaFora ponta",Mercado_Receita!$L$2:$L$298)+SUMIF(Mercado_Receita!$S$2:$S$298,"44501B1Convencional pré-pagamentoResidencialResidencial baixa renda – faixa 02Não se aplicaNão se aplicaIntermediário",Mercado_Receita!$L$2:$L$298)+SUMIF(Mercado_Receita!$S$2:$S$298,"44501B1Convencional pré-pagamentoResidencialResidencial baixa renda – faixa 02Não se aplicaNão se aplicaNão se aplica",Mercado_Receita!$L$2:$L$298)</f>
        <v>0</v>
      </c>
      <c r="Q24" s="12">
        <f>SUMIF(Mercado_Receita!$S$2:$S$298,"44531B1Convencional pré-pagamentoResidencialResidencial baixa renda – faixa 02Não se aplicaNão se aplicaPonta",Mercado_Receita!$L$2:$L$298)+SUMIF(Mercado_Receita!$S$2:$S$298,"44531B1Convencional pré-pagamentoResidencialResidencial baixa renda – faixa 02Não se aplicaNão se aplicaFora ponta",Mercado_Receita!$L$2:$L$298)+SUMIF(Mercado_Receita!$S$2:$S$298,"44531B1Convencional pré-pagamentoResidencialResidencial baixa renda – faixa 02Não se aplicaNão se aplicaIntermediário",Mercado_Receita!$L$2:$L$298)+SUMIF(Mercado_Receita!$S$2:$S$298,"44531B1Convencional pré-pagamentoResidencialResidencial baixa renda – faixa 02Não se aplicaNão se aplicaNão se aplica",Mercado_Receita!$L$2:$L$298)</f>
        <v>0</v>
      </c>
      <c r="R24" s="12">
        <f>SUMIF(Mercado_Receita!$S$2:$S$298,"44562B1Convencional pré-pagamentoResidencialResidencial baixa renda – faixa 02Não se aplicaNão se aplicaPonta",Mercado_Receita!$L$2:$L$298)+SUMIF(Mercado_Receita!$S$2:$S$298,"44562B1Convencional pré-pagamentoResidencialResidencial baixa renda – faixa 02Não se aplicaNão se aplicaFora ponta",Mercado_Receita!$L$2:$L$298)+SUMIF(Mercado_Receita!$S$2:$S$298,"44562B1Convencional pré-pagamentoResidencialResidencial baixa renda – faixa 02Não se aplicaNão se aplicaIntermediário",Mercado_Receita!$L$2:$L$298)+SUMIF(Mercado_Receita!$S$2:$S$298,"44562B1Convencional pré-pagamentoResidencialResidencial baixa renda – faixa 02Não se aplicaNão se aplicaNão se aplica",Mercado_Receita!$L$2:$L$298)</f>
        <v>0</v>
      </c>
      <c r="S24" s="12">
        <f>SUMIF(Mercado_Receita!$S$2:$S$298,"44593B1Convencional pré-pagamentoResidencialResidencial baixa renda – faixa 02Não se aplicaNão se aplicaPonta",Mercado_Receita!$L$2:$L$298)+SUMIF(Mercado_Receita!$S$2:$S$298,"44593B1Convencional pré-pagamentoResidencialResidencial baixa renda – faixa 02Não se aplicaNão se aplicaFora ponta",Mercado_Receita!$L$2:$L$298)+SUMIF(Mercado_Receita!$S$2:$S$298,"44593B1Convencional pré-pagamentoResidencialResidencial baixa renda – faixa 02Não se aplicaNão se aplicaIntermediário",Mercado_Receita!$L$2:$L$298)+SUMIF(Mercado_Receita!$S$2:$S$298,"44593B1Convencional pré-pagamentoResidencialResidencial baixa renda – faixa 02Não se aplicaNão se aplicaNão se aplica",Mercado_Receita!$L$2:$L$298)</f>
        <v>0</v>
      </c>
      <c r="T24" s="12">
        <f>SUMIF(Mercado_Receita!$S$2:$S$298,"44621B1Convencional pré-pagamentoResidencialResidencial baixa renda – faixa 02Não se aplicaNão se aplicaPonta",Mercado_Receita!$L$2:$L$298)+SUMIF(Mercado_Receita!$S$2:$S$298,"44621B1Convencional pré-pagamentoResidencialResidencial baixa renda – faixa 02Não se aplicaNão se aplicaFora ponta",Mercado_Receita!$L$2:$L$298)+SUMIF(Mercado_Receita!$S$2:$S$298,"44621B1Convencional pré-pagamentoResidencialResidencial baixa renda – faixa 02Não se aplicaNão se aplicaIntermediário",Mercado_Receita!$L$2:$L$298)+SUMIF(Mercado_Receita!$S$2:$S$298,"44621B1Convencional pré-pagamentoResidencialResidencial baixa renda – faixa 02Não se aplicaNão se aplicaNão se aplica",Mercado_Receita!$L$2:$L$298)</f>
        <v>0</v>
      </c>
      <c r="U24" s="12">
        <f t="shared" si="0"/>
        <v>0</v>
      </c>
      <c r="V24" s="12"/>
      <c r="W24" s="12"/>
    </row>
    <row r="25" spans="1:23" ht="11.25" customHeight="1" x14ac:dyDescent="0.3">
      <c r="A25" s="107"/>
      <c r="B25" s="107"/>
      <c r="C25" s="107"/>
      <c r="D25" s="13" t="s">
        <v>31</v>
      </c>
      <c r="E25" s="13" t="s">
        <v>25</v>
      </c>
      <c r="F25" s="13" t="s">
        <v>25</v>
      </c>
      <c r="G25" s="12" t="s">
        <v>74</v>
      </c>
      <c r="H25" s="12" t="s">
        <v>67</v>
      </c>
      <c r="I25" s="12">
        <f>SUMIF(Mercado_Receita!$S$2:$S$298,"44287B1Convencional pré-pagamentoResidencialResidencial baixa renda – faixa 03Não se aplicaNão se aplicaPonta",Mercado_Receita!$L$2:$L$298)+SUMIF(Mercado_Receita!$S$2:$S$298,"44287B1Convencional pré-pagamentoResidencialResidencial baixa renda – faixa 03Não se aplicaNão se aplicaFora ponta",Mercado_Receita!$L$2:$L$298)+SUMIF(Mercado_Receita!$S$2:$S$298,"44287B1Convencional pré-pagamentoResidencialResidencial baixa renda – faixa 03Não se aplicaNão se aplicaIntermediário",Mercado_Receita!$L$2:$L$298)+SUMIF(Mercado_Receita!$S$2:$S$298,"44287B1Convencional pré-pagamentoResidencialResidencial baixa renda – faixa 03Não se aplicaNão se aplicaNão se aplica",Mercado_Receita!$L$2:$L$298)</f>
        <v>0</v>
      </c>
      <c r="J25" s="12">
        <f>SUMIF(Mercado_Receita!$S$2:$S$298,"44317B1Convencional pré-pagamentoResidencialResidencial baixa renda – faixa 03Não se aplicaNão se aplicaPonta",Mercado_Receita!$L$2:$L$298)+SUMIF(Mercado_Receita!$S$2:$S$298,"44317B1Convencional pré-pagamentoResidencialResidencial baixa renda – faixa 03Não se aplicaNão se aplicaFora ponta",Mercado_Receita!$L$2:$L$298)+SUMIF(Mercado_Receita!$S$2:$S$298,"44317B1Convencional pré-pagamentoResidencialResidencial baixa renda – faixa 03Não se aplicaNão se aplicaIntermediário",Mercado_Receita!$L$2:$L$298)+SUMIF(Mercado_Receita!$S$2:$S$298,"44317B1Convencional pré-pagamentoResidencialResidencial baixa renda – faixa 03Não se aplicaNão se aplicaNão se aplica",Mercado_Receita!$L$2:$L$298)</f>
        <v>0</v>
      </c>
      <c r="K25" s="12">
        <f>SUMIF(Mercado_Receita!$S$2:$S$298,"44348B1Convencional pré-pagamentoResidencialResidencial baixa renda – faixa 03Não se aplicaNão se aplicaPonta",Mercado_Receita!$L$2:$L$298)+SUMIF(Mercado_Receita!$S$2:$S$298,"44348B1Convencional pré-pagamentoResidencialResidencial baixa renda – faixa 03Não se aplicaNão se aplicaFora ponta",Mercado_Receita!$L$2:$L$298)+SUMIF(Mercado_Receita!$S$2:$S$298,"44348B1Convencional pré-pagamentoResidencialResidencial baixa renda – faixa 03Não se aplicaNão se aplicaIntermediário",Mercado_Receita!$L$2:$L$298)+SUMIF(Mercado_Receita!$S$2:$S$298,"44348B1Convencional pré-pagamentoResidencialResidencial baixa renda – faixa 03Não se aplicaNão se aplicaNão se aplica",Mercado_Receita!$L$2:$L$298)</f>
        <v>0</v>
      </c>
      <c r="L25" s="12">
        <f>SUMIF(Mercado_Receita!$S$2:$S$298,"44378B1Convencional pré-pagamentoResidencialResidencial baixa renda – faixa 03Não se aplicaNão se aplicaPonta",Mercado_Receita!$L$2:$L$298)+SUMIF(Mercado_Receita!$S$2:$S$298,"44378B1Convencional pré-pagamentoResidencialResidencial baixa renda – faixa 03Não se aplicaNão se aplicaFora ponta",Mercado_Receita!$L$2:$L$298)+SUMIF(Mercado_Receita!$S$2:$S$298,"44378B1Convencional pré-pagamentoResidencialResidencial baixa renda – faixa 03Não se aplicaNão se aplicaIntermediário",Mercado_Receita!$L$2:$L$298)+SUMIF(Mercado_Receita!$S$2:$S$298,"44378B1Convencional pré-pagamentoResidencialResidencial baixa renda – faixa 03Não se aplicaNão se aplicaNão se aplica",Mercado_Receita!$L$2:$L$298)</f>
        <v>0</v>
      </c>
      <c r="M25" s="12">
        <f>SUMIF(Mercado_Receita!$S$2:$S$298,"44409B1Convencional pré-pagamentoResidencialResidencial baixa renda – faixa 03Não se aplicaNão se aplicaPonta",Mercado_Receita!$L$2:$L$298)+SUMIF(Mercado_Receita!$S$2:$S$298,"44409B1Convencional pré-pagamentoResidencialResidencial baixa renda – faixa 03Não se aplicaNão se aplicaFora ponta",Mercado_Receita!$L$2:$L$298)+SUMIF(Mercado_Receita!$S$2:$S$298,"44409B1Convencional pré-pagamentoResidencialResidencial baixa renda – faixa 03Não se aplicaNão se aplicaIntermediário",Mercado_Receita!$L$2:$L$298)+SUMIF(Mercado_Receita!$S$2:$S$298,"44409B1Convencional pré-pagamentoResidencialResidencial baixa renda – faixa 03Não se aplicaNão se aplicaNão se aplica",Mercado_Receita!$L$2:$L$298)</f>
        <v>0</v>
      </c>
      <c r="N25" s="12">
        <f>SUMIF(Mercado_Receita!$S$2:$S$298,"44440B1Convencional pré-pagamentoResidencialResidencial baixa renda – faixa 03Não se aplicaNão se aplicaPonta",Mercado_Receita!$L$2:$L$298)+SUMIF(Mercado_Receita!$S$2:$S$298,"44440B1Convencional pré-pagamentoResidencialResidencial baixa renda – faixa 03Não se aplicaNão se aplicaFora ponta",Mercado_Receita!$L$2:$L$298)+SUMIF(Mercado_Receita!$S$2:$S$298,"44440B1Convencional pré-pagamentoResidencialResidencial baixa renda – faixa 03Não se aplicaNão se aplicaIntermediário",Mercado_Receita!$L$2:$L$298)+SUMIF(Mercado_Receita!$S$2:$S$298,"44440B1Convencional pré-pagamentoResidencialResidencial baixa renda – faixa 03Não se aplicaNão se aplicaNão se aplica",Mercado_Receita!$L$2:$L$298)</f>
        <v>0</v>
      </c>
      <c r="O25" s="12">
        <f>SUMIF(Mercado_Receita!$S$2:$S$298,"44470B1Convencional pré-pagamentoResidencialResidencial baixa renda – faixa 03Não se aplicaNão se aplicaPonta",Mercado_Receita!$L$2:$L$298)+SUMIF(Mercado_Receita!$S$2:$S$298,"44470B1Convencional pré-pagamentoResidencialResidencial baixa renda – faixa 03Não se aplicaNão se aplicaFora ponta",Mercado_Receita!$L$2:$L$298)+SUMIF(Mercado_Receita!$S$2:$S$298,"44470B1Convencional pré-pagamentoResidencialResidencial baixa renda – faixa 03Não se aplicaNão se aplicaIntermediário",Mercado_Receita!$L$2:$L$298)+SUMIF(Mercado_Receita!$S$2:$S$298,"44470B1Convencional pré-pagamentoResidencialResidencial baixa renda – faixa 03Não se aplicaNão se aplicaNão se aplica",Mercado_Receita!$L$2:$L$298)</f>
        <v>0</v>
      </c>
      <c r="P25" s="12">
        <f>SUMIF(Mercado_Receita!$S$2:$S$298,"44501B1Convencional pré-pagamentoResidencialResidencial baixa renda – faixa 03Não se aplicaNão se aplicaPonta",Mercado_Receita!$L$2:$L$298)+SUMIF(Mercado_Receita!$S$2:$S$298,"44501B1Convencional pré-pagamentoResidencialResidencial baixa renda – faixa 03Não se aplicaNão se aplicaFora ponta",Mercado_Receita!$L$2:$L$298)+SUMIF(Mercado_Receita!$S$2:$S$298,"44501B1Convencional pré-pagamentoResidencialResidencial baixa renda – faixa 03Não se aplicaNão se aplicaIntermediário",Mercado_Receita!$L$2:$L$298)+SUMIF(Mercado_Receita!$S$2:$S$298,"44501B1Convencional pré-pagamentoResidencialResidencial baixa renda – faixa 03Não se aplicaNão se aplicaNão se aplica",Mercado_Receita!$L$2:$L$298)</f>
        <v>0</v>
      </c>
      <c r="Q25" s="12">
        <f>SUMIF(Mercado_Receita!$S$2:$S$298,"44531B1Convencional pré-pagamentoResidencialResidencial baixa renda – faixa 03Não se aplicaNão se aplicaPonta",Mercado_Receita!$L$2:$L$298)+SUMIF(Mercado_Receita!$S$2:$S$298,"44531B1Convencional pré-pagamentoResidencialResidencial baixa renda – faixa 03Não se aplicaNão se aplicaFora ponta",Mercado_Receita!$L$2:$L$298)+SUMIF(Mercado_Receita!$S$2:$S$298,"44531B1Convencional pré-pagamentoResidencialResidencial baixa renda – faixa 03Não se aplicaNão se aplicaIntermediário",Mercado_Receita!$L$2:$L$298)+SUMIF(Mercado_Receita!$S$2:$S$298,"44531B1Convencional pré-pagamentoResidencialResidencial baixa renda – faixa 03Não se aplicaNão se aplicaNão se aplica",Mercado_Receita!$L$2:$L$298)</f>
        <v>0</v>
      </c>
      <c r="R25" s="12">
        <f>SUMIF(Mercado_Receita!$S$2:$S$298,"44562B1Convencional pré-pagamentoResidencialResidencial baixa renda – faixa 03Não se aplicaNão se aplicaPonta",Mercado_Receita!$L$2:$L$298)+SUMIF(Mercado_Receita!$S$2:$S$298,"44562B1Convencional pré-pagamentoResidencialResidencial baixa renda – faixa 03Não se aplicaNão se aplicaFora ponta",Mercado_Receita!$L$2:$L$298)+SUMIF(Mercado_Receita!$S$2:$S$298,"44562B1Convencional pré-pagamentoResidencialResidencial baixa renda – faixa 03Não se aplicaNão se aplicaIntermediário",Mercado_Receita!$L$2:$L$298)+SUMIF(Mercado_Receita!$S$2:$S$298,"44562B1Convencional pré-pagamentoResidencialResidencial baixa renda – faixa 03Não se aplicaNão se aplicaNão se aplica",Mercado_Receita!$L$2:$L$298)</f>
        <v>0</v>
      </c>
      <c r="S25" s="12">
        <f>SUMIF(Mercado_Receita!$S$2:$S$298,"44593B1Convencional pré-pagamentoResidencialResidencial baixa renda – faixa 03Não se aplicaNão se aplicaPonta",Mercado_Receita!$L$2:$L$298)+SUMIF(Mercado_Receita!$S$2:$S$298,"44593B1Convencional pré-pagamentoResidencialResidencial baixa renda – faixa 03Não se aplicaNão se aplicaFora ponta",Mercado_Receita!$L$2:$L$298)+SUMIF(Mercado_Receita!$S$2:$S$298,"44593B1Convencional pré-pagamentoResidencialResidencial baixa renda – faixa 03Não se aplicaNão se aplicaIntermediário",Mercado_Receita!$L$2:$L$298)+SUMIF(Mercado_Receita!$S$2:$S$298,"44593B1Convencional pré-pagamentoResidencialResidencial baixa renda – faixa 03Não se aplicaNão se aplicaNão se aplica",Mercado_Receita!$L$2:$L$298)</f>
        <v>0</v>
      </c>
      <c r="T25" s="12">
        <f>SUMIF(Mercado_Receita!$S$2:$S$298,"44621B1Convencional pré-pagamentoResidencialResidencial baixa renda – faixa 03Não se aplicaNão se aplicaPonta",Mercado_Receita!$L$2:$L$298)+SUMIF(Mercado_Receita!$S$2:$S$298,"44621B1Convencional pré-pagamentoResidencialResidencial baixa renda – faixa 03Não se aplicaNão se aplicaFora ponta",Mercado_Receita!$L$2:$L$298)+SUMIF(Mercado_Receita!$S$2:$S$298,"44621B1Convencional pré-pagamentoResidencialResidencial baixa renda – faixa 03Não se aplicaNão se aplicaIntermediário",Mercado_Receita!$L$2:$L$298)+SUMIF(Mercado_Receita!$S$2:$S$298,"44621B1Convencional pré-pagamentoResidencialResidencial baixa renda – faixa 03Não se aplicaNão se aplicaNão se aplica",Mercado_Receita!$L$2:$L$298)</f>
        <v>0</v>
      </c>
      <c r="U25" s="12">
        <f t="shared" si="0"/>
        <v>0</v>
      </c>
      <c r="V25" s="12"/>
      <c r="W25" s="12"/>
    </row>
    <row r="26" spans="1:23" ht="11.25" customHeight="1" x14ac:dyDescent="0.3">
      <c r="A26" s="107"/>
      <c r="B26" s="107"/>
      <c r="C26" s="107"/>
      <c r="D26" s="13" t="s">
        <v>32</v>
      </c>
      <c r="E26" s="13" t="s">
        <v>25</v>
      </c>
      <c r="F26" s="13" t="s">
        <v>25</v>
      </c>
      <c r="G26" s="12" t="s">
        <v>74</v>
      </c>
      <c r="H26" s="12" t="s">
        <v>67</v>
      </c>
      <c r="I26" s="12">
        <f>SUMIF(Mercado_Receita!$S$2:$S$298,"44287B1Convencional pré-pagamentoResidencialResidencial baixa renda – faixa 04Não se aplicaNão se aplicaPonta",Mercado_Receita!$L$2:$L$298)+SUMIF(Mercado_Receita!$S$2:$S$298,"44287B1Convencional pré-pagamentoResidencialResidencial baixa renda – faixa 04Não se aplicaNão se aplicaFora ponta",Mercado_Receita!$L$2:$L$298)+SUMIF(Mercado_Receita!$S$2:$S$298,"44287B1Convencional pré-pagamentoResidencialResidencial baixa renda – faixa 04Não se aplicaNão se aplicaIntermediário",Mercado_Receita!$L$2:$L$298)+SUMIF(Mercado_Receita!$S$2:$S$298,"44287B1Convencional pré-pagamentoResidencialResidencial baixa renda – faixa 04Não se aplicaNão se aplicaNão se aplica",Mercado_Receita!$L$2:$L$298)</f>
        <v>0</v>
      </c>
      <c r="J26" s="12">
        <f>SUMIF(Mercado_Receita!$S$2:$S$298,"44317B1Convencional pré-pagamentoResidencialResidencial baixa renda – faixa 04Não se aplicaNão se aplicaPonta",Mercado_Receita!$L$2:$L$298)+SUMIF(Mercado_Receita!$S$2:$S$298,"44317B1Convencional pré-pagamentoResidencialResidencial baixa renda – faixa 04Não se aplicaNão se aplicaFora ponta",Mercado_Receita!$L$2:$L$298)+SUMIF(Mercado_Receita!$S$2:$S$298,"44317B1Convencional pré-pagamentoResidencialResidencial baixa renda – faixa 04Não se aplicaNão se aplicaIntermediário",Mercado_Receita!$L$2:$L$298)+SUMIF(Mercado_Receita!$S$2:$S$298,"44317B1Convencional pré-pagamentoResidencialResidencial baixa renda – faixa 04Não se aplicaNão se aplicaNão se aplica",Mercado_Receita!$L$2:$L$298)</f>
        <v>0</v>
      </c>
      <c r="K26" s="12">
        <f>SUMIF(Mercado_Receita!$S$2:$S$298,"44348B1Convencional pré-pagamentoResidencialResidencial baixa renda – faixa 04Não se aplicaNão se aplicaPonta",Mercado_Receita!$L$2:$L$298)+SUMIF(Mercado_Receita!$S$2:$S$298,"44348B1Convencional pré-pagamentoResidencialResidencial baixa renda – faixa 04Não se aplicaNão se aplicaFora ponta",Mercado_Receita!$L$2:$L$298)+SUMIF(Mercado_Receita!$S$2:$S$298,"44348B1Convencional pré-pagamentoResidencialResidencial baixa renda – faixa 04Não se aplicaNão se aplicaIntermediário",Mercado_Receita!$L$2:$L$298)+SUMIF(Mercado_Receita!$S$2:$S$298,"44348B1Convencional pré-pagamentoResidencialResidencial baixa renda – faixa 04Não se aplicaNão se aplicaNão se aplica",Mercado_Receita!$L$2:$L$298)</f>
        <v>0</v>
      </c>
      <c r="L26" s="12">
        <f>SUMIF(Mercado_Receita!$S$2:$S$298,"44378B1Convencional pré-pagamentoResidencialResidencial baixa renda – faixa 04Não se aplicaNão se aplicaPonta",Mercado_Receita!$L$2:$L$298)+SUMIF(Mercado_Receita!$S$2:$S$298,"44378B1Convencional pré-pagamentoResidencialResidencial baixa renda – faixa 04Não se aplicaNão se aplicaFora ponta",Mercado_Receita!$L$2:$L$298)+SUMIF(Mercado_Receita!$S$2:$S$298,"44378B1Convencional pré-pagamentoResidencialResidencial baixa renda – faixa 04Não se aplicaNão se aplicaIntermediário",Mercado_Receita!$L$2:$L$298)+SUMIF(Mercado_Receita!$S$2:$S$298,"44378B1Convencional pré-pagamentoResidencialResidencial baixa renda – faixa 04Não se aplicaNão se aplicaNão se aplica",Mercado_Receita!$L$2:$L$298)</f>
        <v>0</v>
      </c>
      <c r="M26" s="12">
        <f>SUMIF(Mercado_Receita!$S$2:$S$298,"44409B1Convencional pré-pagamentoResidencialResidencial baixa renda – faixa 04Não se aplicaNão se aplicaPonta",Mercado_Receita!$L$2:$L$298)+SUMIF(Mercado_Receita!$S$2:$S$298,"44409B1Convencional pré-pagamentoResidencialResidencial baixa renda – faixa 04Não se aplicaNão se aplicaFora ponta",Mercado_Receita!$L$2:$L$298)+SUMIF(Mercado_Receita!$S$2:$S$298,"44409B1Convencional pré-pagamentoResidencialResidencial baixa renda – faixa 04Não se aplicaNão se aplicaIntermediário",Mercado_Receita!$L$2:$L$298)+SUMIF(Mercado_Receita!$S$2:$S$298,"44409B1Convencional pré-pagamentoResidencialResidencial baixa renda – faixa 04Não se aplicaNão se aplicaNão se aplica",Mercado_Receita!$L$2:$L$298)</f>
        <v>0</v>
      </c>
      <c r="N26" s="12">
        <f>SUMIF(Mercado_Receita!$S$2:$S$298,"44440B1Convencional pré-pagamentoResidencialResidencial baixa renda – faixa 04Não se aplicaNão se aplicaPonta",Mercado_Receita!$L$2:$L$298)+SUMIF(Mercado_Receita!$S$2:$S$298,"44440B1Convencional pré-pagamentoResidencialResidencial baixa renda – faixa 04Não se aplicaNão se aplicaFora ponta",Mercado_Receita!$L$2:$L$298)+SUMIF(Mercado_Receita!$S$2:$S$298,"44440B1Convencional pré-pagamentoResidencialResidencial baixa renda – faixa 04Não se aplicaNão se aplicaIntermediário",Mercado_Receita!$L$2:$L$298)+SUMIF(Mercado_Receita!$S$2:$S$298,"44440B1Convencional pré-pagamentoResidencialResidencial baixa renda – faixa 04Não se aplicaNão se aplicaNão se aplica",Mercado_Receita!$L$2:$L$298)</f>
        <v>0</v>
      </c>
      <c r="O26" s="12">
        <f>SUMIF(Mercado_Receita!$S$2:$S$298,"44470B1Convencional pré-pagamentoResidencialResidencial baixa renda – faixa 04Não se aplicaNão se aplicaPonta",Mercado_Receita!$L$2:$L$298)+SUMIF(Mercado_Receita!$S$2:$S$298,"44470B1Convencional pré-pagamentoResidencialResidencial baixa renda – faixa 04Não se aplicaNão se aplicaFora ponta",Mercado_Receita!$L$2:$L$298)+SUMIF(Mercado_Receita!$S$2:$S$298,"44470B1Convencional pré-pagamentoResidencialResidencial baixa renda – faixa 04Não se aplicaNão se aplicaIntermediário",Mercado_Receita!$L$2:$L$298)+SUMIF(Mercado_Receita!$S$2:$S$298,"44470B1Convencional pré-pagamentoResidencialResidencial baixa renda – faixa 04Não se aplicaNão se aplicaNão se aplica",Mercado_Receita!$L$2:$L$298)</f>
        <v>0</v>
      </c>
      <c r="P26" s="12">
        <f>SUMIF(Mercado_Receita!$S$2:$S$298,"44501B1Convencional pré-pagamentoResidencialResidencial baixa renda – faixa 04Não se aplicaNão se aplicaPonta",Mercado_Receita!$L$2:$L$298)+SUMIF(Mercado_Receita!$S$2:$S$298,"44501B1Convencional pré-pagamentoResidencialResidencial baixa renda – faixa 04Não se aplicaNão se aplicaFora ponta",Mercado_Receita!$L$2:$L$298)+SUMIF(Mercado_Receita!$S$2:$S$298,"44501B1Convencional pré-pagamentoResidencialResidencial baixa renda – faixa 04Não se aplicaNão se aplicaIntermediário",Mercado_Receita!$L$2:$L$298)+SUMIF(Mercado_Receita!$S$2:$S$298,"44501B1Convencional pré-pagamentoResidencialResidencial baixa renda – faixa 04Não se aplicaNão se aplicaNão se aplica",Mercado_Receita!$L$2:$L$298)</f>
        <v>0</v>
      </c>
      <c r="Q26" s="12">
        <f>SUMIF(Mercado_Receita!$S$2:$S$298,"44531B1Convencional pré-pagamentoResidencialResidencial baixa renda – faixa 04Não se aplicaNão se aplicaPonta",Mercado_Receita!$L$2:$L$298)+SUMIF(Mercado_Receita!$S$2:$S$298,"44531B1Convencional pré-pagamentoResidencialResidencial baixa renda – faixa 04Não se aplicaNão se aplicaFora ponta",Mercado_Receita!$L$2:$L$298)+SUMIF(Mercado_Receita!$S$2:$S$298,"44531B1Convencional pré-pagamentoResidencialResidencial baixa renda – faixa 04Não se aplicaNão se aplicaIntermediário",Mercado_Receita!$L$2:$L$298)+SUMIF(Mercado_Receita!$S$2:$S$298,"44531B1Convencional pré-pagamentoResidencialResidencial baixa renda – faixa 04Não se aplicaNão se aplicaNão se aplica",Mercado_Receita!$L$2:$L$298)</f>
        <v>0</v>
      </c>
      <c r="R26" s="12">
        <f>SUMIF(Mercado_Receita!$S$2:$S$298,"44562B1Convencional pré-pagamentoResidencialResidencial baixa renda – faixa 04Não se aplicaNão se aplicaPonta",Mercado_Receita!$L$2:$L$298)+SUMIF(Mercado_Receita!$S$2:$S$298,"44562B1Convencional pré-pagamentoResidencialResidencial baixa renda – faixa 04Não se aplicaNão se aplicaFora ponta",Mercado_Receita!$L$2:$L$298)+SUMIF(Mercado_Receita!$S$2:$S$298,"44562B1Convencional pré-pagamentoResidencialResidencial baixa renda – faixa 04Não se aplicaNão se aplicaIntermediário",Mercado_Receita!$L$2:$L$298)+SUMIF(Mercado_Receita!$S$2:$S$298,"44562B1Convencional pré-pagamentoResidencialResidencial baixa renda – faixa 04Não se aplicaNão se aplicaNão se aplica",Mercado_Receita!$L$2:$L$298)</f>
        <v>0</v>
      </c>
      <c r="S26" s="12">
        <f>SUMIF(Mercado_Receita!$S$2:$S$298,"44593B1Convencional pré-pagamentoResidencialResidencial baixa renda – faixa 04Não se aplicaNão se aplicaPonta",Mercado_Receita!$L$2:$L$298)+SUMIF(Mercado_Receita!$S$2:$S$298,"44593B1Convencional pré-pagamentoResidencialResidencial baixa renda – faixa 04Não se aplicaNão se aplicaFora ponta",Mercado_Receita!$L$2:$L$298)+SUMIF(Mercado_Receita!$S$2:$S$298,"44593B1Convencional pré-pagamentoResidencialResidencial baixa renda – faixa 04Não se aplicaNão se aplicaIntermediário",Mercado_Receita!$L$2:$L$298)+SUMIF(Mercado_Receita!$S$2:$S$298,"44593B1Convencional pré-pagamentoResidencialResidencial baixa renda – faixa 04Não se aplicaNão se aplicaNão se aplica",Mercado_Receita!$L$2:$L$298)</f>
        <v>0</v>
      </c>
      <c r="T26" s="12">
        <f>SUMIF(Mercado_Receita!$S$2:$S$298,"44621B1Convencional pré-pagamentoResidencialResidencial baixa renda – faixa 04Não se aplicaNão se aplicaPonta",Mercado_Receita!$L$2:$L$298)+SUMIF(Mercado_Receita!$S$2:$S$298,"44621B1Convencional pré-pagamentoResidencialResidencial baixa renda – faixa 04Não se aplicaNão se aplicaFora ponta",Mercado_Receita!$L$2:$L$298)+SUMIF(Mercado_Receita!$S$2:$S$298,"44621B1Convencional pré-pagamentoResidencialResidencial baixa renda – faixa 04Não se aplicaNão se aplicaIntermediário",Mercado_Receita!$L$2:$L$298)+SUMIF(Mercado_Receita!$S$2:$S$298,"44621B1Convencional pré-pagamentoResidencialResidencial baixa renda – faixa 04Não se aplicaNão se aplicaNão se aplica",Mercado_Receita!$L$2:$L$298)</f>
        <v>0</v>
      </c>
      <c r="U26" s="12">
        <f t="shared" si="0"/>
        <v>0</v>
      </c>
      <c r="V26" s="12"/>
      <c r="W26" s="12"/>
    </row>
    <row r="27" spans="1:23" ht="11.25" customHeight="1" x14ac:dyDescent="0.3">
      <c r="A27" s="106" t="s">
        <v>40</v>
      </c>
      <c r="B27" s="106" t="s">
        <v>82</v>
      </c>
      <c r="C27" s="106" t="s">
        <v>41</v>
      </c>
      <c r="D27" s="106" t="s">
        <v>25</v>
      </c>
      <c r="E27" s="106" t="s">
        <v>25</v>
      </c>
      <c r="F27" s="106" t="s">
        <v>25</v>
      </c>
      <c r="G27" s="12" t="s">
        <v>68</v>
      </c>
      <c r="H27" s="12" t="s">
        <v>67</v>
      </c>
      <c r="I27" s="12">
        <f>SUMIF(Mercado_Receita!$S$2:$S$298,"44287B2BrancaRuralNão se aplicaNão se aplicaNão se aplicaPonta",Mercado_Receita!$L$2:$L$298)</f>
        <v>0</v>
      </c>
      <c r="J27" s="12">
        <f>SUMIF(Mercado_Receita!$S$2:$S$298,"44317B2BrancaRuralNão se aplicaNão se aplicaNão se aplicaPonta",Mercado_Receita!$L$2:$L$298)</f>
        <v>0</v>
      </c>
      <c r="K27" s="12">
        <f>SUMIF(Mercado_Receita!$S$2:$S$298,"44348B2BrancaRuralNão se aplicaNão se aplicaNão se aplicaPonta",Mercado_Receita!$L$2:$L$298)</f>
        <v>0</v>
      </c>
      <c r="L27" s="12">
        <f>SUMIF(Mercado_Receita!$S$2:$S$298,"44378B2BrancaRuralNão se aplicaNão se aplicaNão se aplicaPonta",Mercado_Receita!$L$2:$L$298)</f>
        <v>0</v>
      </c>
      <c r="M27" s="12">
        <f>SUMIF(Mercado_Receita!$S$2:$S$298,"44409B2BrancaRuralNão se aplicaNão se aplicaNão se aplicaPonta",Mercado_Receita!$L$2:$L$298)</f>
        <v>0</v>
      </c>
      <c r="N27" s="12">
        <f>SUMIF(Mercado_Receita!$S$2:$S$298,"44440B2BrancaRuralNão se aplicaNão se aplicaNão se aplicaPonta",Mercado_Receita!$L$2:$L$298)</f>
        <v>0</v>
      </c>
      <c r="O27" s="12">
        <f>SUMIF(Mercado_Receita!$S$2:$S$298,"44470B2BrancaRuralNão se aplicaNão se aplicaNão se aplicaPonta",Mercado_Receita!$L$2:$L$298)</f>
        <v>0</v>
      </c>
      <c r="P27" s="12">
        <f>SUMIF(Mercado_Receita!$S$2:$S$298,"44501B2BrancaRuralNão se aplicaNão se aplicaNão se aplicaPonta",Mercado_Receita!$L$2:$L$298)</f>
        <v>0</v>
      </c>
      <c r="Q27" s="12">
        <f>SUMIF(Mercado_Receita!$S$2:$S$298,"44531B2BrancaRuralNão se aplicaNão se aplicaNão se aplicaPonta",Mercado_Receita!$L$2:$L$298)</f>
        <v>0</v>
      </c>
      <c r="R27" s="12">
        <f>SUMIF(Mercado_Receita!$S$2:$S$298,"44562B2BrancaRuralNão se aplicaNão se aplicaNão se aplicaPonta",Mercado_Receita!$L$2:$L$298)</f>
        <v>0</v>
      </c>
      <c r="S27" s="12">
        <f>SUMIF(Mercado_Receita!$S$2:$S$298,"44593B2BrancaRuralNão se aplicaNão se aplicaNão se aplicaPonta",Mercado_Receita!$L$2:$L$298)</f>
        <v>0</v>
      </c>
      <c r="T27" s="12">
        <f>SUMIF(Mercado_Receita!$S$2:$S$298,"44621B2BrancaRuralNão se aplicaNão se aplicaNão se aplicaPonta",Mercado_Receita!$L$2:$L$298)</f>
        <v>0</v>
      </c>
      <c r="U27" s="12">
        <f t="shared" si="0"/>
        <v>0</v>
      </c>
      <c r="V27" s="12"/>
      <c r="W27" s="12"/>
    </row>
    <row r="28" spans="1:23" ht="11.25" customHeight="1" x14ac:dyDescent="0.3">
      <c r="A28" s="107"/>
      <c r="B28" s="107"/>
      <c r="C28" s="107"/>
      <c r="D28" s="107"/>
      <c r="E28" s="107"/>
      <c r="F28" s="107"/>
      <c r="G28" s="12" t="s">
        <v>80</v>
      </c>
      <c r="H28" s="12" t="s">
        <v>67</v>
      </c>
      <c r="I28" s="12">
        <f>SUMIF(Mercado_Receita!$S$2:$S$298,"44287B2BrancaRuralNão se aplicaNão se aplicaNão se aplicaIntermediário",Mercado_Receita!$L$2:$L$298)</f>
        <v>0</v>
      </c>
      <c r="J28" s="12">
        <f>SUMIF(Mercado_Receita!$S$2:$S$298,"44317B2BrancaRuralNão se aplicaNão se aplicaNão se aplicaIntermediário",Mercado_Receita!$L$2:$L$298)</f>
        <v>0</v>
      </c>
      <c r="K28" s="12">
        <f>SUMIF(Mercado_Receita!$S$2:$S$298,"44348B2BrancaRuralNão se aplicaNão se aplicaNão se aplicaIntermediário",Mercado_Receita!$L$2:$L$298)</f>
        <v>0</v>
      </c>
      <c r="L28" s="12">
        <f>SUMIF(Mercado_Receita!$S$2:$S$298,"44378B2BrancaRuralNão se aplicaNão se aplicaNão se aplicaIntermediário",Mercado_Receita!$L$2:$L$298)</f>
        <v>0</v>
      </c>
      <c r="M28" s="12">
        <f>SUMIF(Mercado_Receita!$S$2:$S$298,"44409B2BrancaRuralNão se aplicaNão se aplicaNão se aplicaIntermediário",Mercado_Receita!$L$2:$L$298)</f>
        <v>0</v>
      </c>
      <c r="N28" s="12">
        <f>SUMIF(Mercado_Receita!$S$2:$S$298,"44440B2BrancaRuralNão se aplicaNão se aplicaNão se aplicaIntermediário",Mercado_Receita!$L$2:$L$298)</f>
        <v>0</v>
      </c>
      <c r="O28" s="12">
        <f>SUMIF(Mercado_Receita!$S$2:$S$298,"44470B2BrancaRuralNão se aplicaNão se aplicaNão se aplicaIntermediário",Mercado_Receita!$L$2:$L$298)</f>
        <v>0</v>
      </c>
      <c r="P28" s="12">
        <f>SUMIF(Mercado_Receita!$S$2:$S$298,"44501B2BrancaRuralNão se aplicaNão se aplicaNão se aplicaIntermediário",Mercado_Receita!$L$2:$L$298)</f>
        <v>0</v>
      </c>
      <c r="Q28" s="12">
        <f>SUMIF(Mercado_Receita!$S$2:$S$298,"44531B2BrancaRuralNão se aplicaNão se aplicaNão se aplicaIntermediário",Mercado_Receita!$L$2:$L$298)</f>
        <v>0</v>
      </c>
      <c r="R28" s="12">
        <f>SUMIF(Mercado_Receita!$S$2:$S$298,"44562B2BrancaRuralNão se aplicaNão se aplicaNão se aplicaIntermediário",Mercado_Receita!$L$2:$L$298)</f>
        <v>0</v>
      </c>
      <c r="S28" s="12">
        <f>SUMIF(Mercado_Receita!$S$2:$S$298,"44593B2BrancaRuralNão se aplicaNão se aplicaNão se aplicaIntermediário",Mercado_Receita!$L$2:$L$298)</f>
        <v>0</v>
      </c>
      <c r="T28" s="12">
        <f>SUMIF(Mercado_Receita!$S$2:$S$298,"44621B2BrancaRuralNão se aplicaNão se aplicaNão se aplicaIntermediário",Mercado_Receita!$L$2:$L$298)</f>
        <v>0</v>
      </c>
      <c r="U28" s="12">
        <f t="shared" si="0"/>
        <v>0</v>
      </c>
      <c r="V28" s="12"/>
      <c r="W28" s="12"/>
    </row>
    <row r="29" spans="1:23" ht="11.25" customHeight="1" x14ac:dyDescent="0.3">
      <c r="A29" s="107"/>
      <c r="B29" s="107"/>
      <c r="C29" s="107"/>
      <c r="D29" s="107"/>
      <c r="E29" s="107"/>
      <c r="F29" s="107"/>
      <c r="G29" s="12" t="s">
        <v>69</v>
      </c>
      <c r="H29" s="12" t="s">
        <v>67</v>
      </c>
      <c r="I29" s="12">
        <f>SUMIF(Mercado_Receita!$S$2:$S$298,"44287B2BrancaRuralNão se aplicaNão se aplicaNão se aplicaFora ponta",Mercado_Receita!$L$2:$L$298)</f>
        <v>0</v>
      </c>
      <c r="J29" s="12">
        <f>SUMIF(Mercado_Receita!$S$2:$S$298,"44317B2BrancaRuralNão se aplicaNão se aplicaNão se aplicaFora ponta",Mercado_Receita!$L$2:$L$298)</f>
        <v>0</v>
      </c>
      <c r="K29" s="12">
        <f>SUMIF(Mercado_Receita!$S$2:$S$298,"44348B2BrancaRuralNão se aplicaNão se aplicaNão se aplicaFora ponta",Mercado_Receita!$L$2:$L$298)</f>
        <v>0</v>
      </c>
      <c r="L29" s="12">
        <f>SUMIF(Mercado_Receita!$S$2:$S$298,"44378B2BrancaRuralNão se aplicaNão se aplicaNão se aplicaFora ponta",Mercado_Receita!$L$2:$L$298)</f>
        <v>0</v>
      </c>
      <c r="M29" s="12">
        <f>SUMIF(Mercado_Receita!$S$2:$S$298,"44409B2BrancaRuralNão se aplicaNão se aplicaNão se aplicaFora ponta",Mercado_Receita!$L$2:$L$298)</f>
        <v>0</v>
      </c>
      <c r="N29" s="12">
        <f>SUMIF(Mercado_Receita!$S$2:$S$298,"44440B2BrancaRuralNão se aplicaNão se aplicaNão se aplicaFora ponta",Mercado_Receita!$L$2:$L$298)</f>
        <v>0</v>
      </c>
      <c r="O29" s="12">
        <f>SUMIF(Mercado_Receita!$S$2:$S$298,"44470B2BrancaRuralNão se aplicaNão se aplicaNão se aplicaFora ponta",Mercado_Receita!$L$2:$L$298)</f>
        <v>0</v>
      </c>
      <c r="P29" s="12">
        <f>SUMIF(Mercado_Receita!$S$2:$S$298,"44501B2BrancaRuralNão se aplicaNão se aplicaNão se aplicaFora ponta",Mercado_Receita!$L$2:$L$298)</f>
        <v>0</v>
      </c>
      <c r="Q29" s="12">
        <f>SUMIF(Mercado_Receita!$S$2:$S$298,"44531B2BrancaRuralNão se aplicaNão se aplicaNão se aplicaFora ponta",Mercado_Receita!$L$2:$L$298)</f>
        <v>0</v>
      </c>
      <c r="R29" s="12">
        <f>SUMIF(Mercado_Receita!$S$2:$S$298,"44562B2BrancaRuralNão se aplicaNão se aplicaNão se aplicaFora ponta",Mercado_Receita!$L$2:$L$298)</f>
        <v>0</v>
      </c>
      <c r="S29" s="12">
        <f>SUMIF(Mercado_Receita!$S$2:$S$298,"44593B2BrancaRuralNão se aplicaNão se aplicaNão se aplicaFora ponta",Mercado_Receita!$L$2:$L$298)</f>
        <v>0</v>
      </c>
      <c r="T29" s="12">
        <f>SUMIF(Mercado_Receita!$S$2:$S$298,"44621B2BrancaRuralNão se aplicaNão se aplicaNão se aplicaFora ponta",Mercado_Receita!$L$2:$L$298)</f>
        <v>0</v>
      </c>
      <c r="U29" s="12">
        <f t="shared" si="0"/>
        <v>0</v>
      </c>
      <c r="V29" s="12"/>
      <c r="W29" s="12"/>
    </row>
    <row r="30" spans="1:23" ht="11.25" customHeight="1" x14ac:dyDescent="0.3">
      <c r="A30" s="107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74</v>
      </c>
      <c r="H30" s="12" t="s">
        <v>67</v>
      </c>
      <c r="I30" s="12">
        <f>SUMIF(Mercado_Receita!$S$2:$S$298,"44287B2ConvencionalRuralNão se aplicaNão se aplicaNão se aplicaPonta",Mercado_Receita!$L$2:$L$298)+SUMIF(Mercado_Receita!$S$2:$S$298,"44287B2ConvencionalRuralNão se aplicaNão se aplicaNão se aplicaFora ponta",Mercado_Receita!$L$2:$L$298)+SUMIF(Mercado_Receita!$S$2:$S$298,"44287B2ConvencionalRuralNão se aplicaNão se aplicaNão se aplicaIntermediário",Mercado_Receita!$L$2:$L$298)+SUMIF(Mercado_Receita!$S$2:$S$298,"44287B2ConvencionalRuralNão se aplicaNão se aplicaNão se aplicaNão se aplica",Mercado_Receita!$L$2:$L$298)</f>
        <v>126.39599999999999</v>
      </c>
      <c r="J30" s="12">
        <f>SUMIF(Mercado_Receita!$S$2:$S$298,"44317B2ConvencionalRuralNão se aplicaNão se aplicaNão se aplicaPonta",Mercado_Receita!$L$2:$L$298)+SUMIF(Mercado_Receita!$S$2:$S$298,"44317B2ConvencionalRuralNão se aplicaNão se aplicaNão se aplicaFora ponta",Mercado_Receita!$L$2:$L$298)+SUMIF(Mercado_Receita!$S$2:$S$298,"44317B2ConvencionalRuralNão se aplicaNão se aplicaNão se aplicaIntermediário",Mercado_Receita!$L$2:$L$298)+SUMIF(Mercado_Receita!$S$2:$S$298,"44317B2ConvencionalRuralNão se aplicaNão se aplicaNão se aplicaNão se aplica",Mercado_Receita!$L$2:$L$298)</f>
        <v>124.41700000000002</v>
      </c>
      <c r="K30" s="12">
        <f>SUMIF(Mercado_Receita!$S$2:$S$298,"44348B2ConvencionalRuralNão se aplicaNão se aplicaNão se aplicaPonta",Mercado_Receita!$L$2:$L$298)+SUMIF(Mercado_Receita!$S$2:$S$298,"44348B2ConvencionalRuralNão se aplicaNão se aplicaNão se aplicaFora ponta",Mercado_Receita!$L$2:$L$298)+SUMIF(Mercado_Receita!$S$2:$S$298,"44348B2ConvencionalRuralNão se aplicaNão se aplicaNão se aplicaIntermediário",Mercado_Receita!$L$2:$L$298)+SUMIF(Mercado_Receita!$S$2:$S$298,"44348B2ConvencionalRuralNão se aplicaNão se aplicaNão se aplicaNão se aplica",Mercado_Receita!$L$2:$L$298)</f>
        <v>129.48599999999999</v>
      </c>
      <c r="L30" s="12">
        <f>SUMIF(Mercado_Receita!$S$2:$S$298,"44378B2ConvencionalRuralNão se aplicaNão se aplicaNão se aplicaPonta",Mercado_Receita!$L$2:$L$298)+SUMIF(Mercado_Receita!$S$2:$S$298,"44378B2ConvencionalRuralNão se aplicaNão se aplicaNão se aplicaFora ponta",Mercado_Receita!$L$2:$L$298)+SUMIF(Mercado_Receita!$S$2:$S$298,"44378B2ConvencionalRuralNão se aplicaNão se aplicaNão se aplicaIntermediário",Mercado_Receita!$L$2:$L$298)+SUMIF(Mercado_Receita!$S$2:$S$298,"44378B2ConvencionalRuralNão se aplicaNão se aplicaNão se aplicaNão se aplica",Mercado_Receita!$L$2:$L$298)</f>
        <v>118.52399999999999</v>
      </c>
      <c r="M30" s="12">
        <f>SUMIF(Mercado_Receita!$S$2:$S$298,"44409B2ConvencionalRuralNão se aplicaNão se aplicaNão se aplicaPonta",Mercado_Receita!$L$2:$L$298)+SUMIF(Mercado_Receita!$S$2:$S$298,"44409B2ConvencionalRuralNão se aplicaNão se aplicaNão se aplicaFora ponta",Mercado_Receita!$L$2:$L$298)+SUMIF(Mercado_Receita!$S$2:$S$298,"44409B2ConvencionalRuralNão se aplicaNão se aplicaNão se aplicaIntermediário",Mercado_Receita!$L$2:$L$298)+SUMIF(Mercado_Receita!$S$2:$S$298,"44409B2ConvencionalRuralNão se aplicaNão se aplicaNão se aplicaNão se aplica",Mercado_Receita!$L$2:$L$298)</f>
        <v>122.387</v>
      </c>
      <c r="N30" s="12">
        <f>SUMIF(Mercado_Receita!$S$2:$S$298,"44440B2ConvencionalRuralNão se aplicaNão se aplicaNão se aplicaPonta",Mercado_Receita!$L$2:$L$298)+SUMIF(Mercado_Receita!$S$2:$S$298,"44440B2ConvencionalRuralNão se aplicaNão se aplicaNão se aplicaFora ponta",Mercado_Receita!$L$2:$L$298)+SUMIF(Mercado_Receita!$S$2:$S$298,"44440B2ConvencionalRuralNão se aplicaNão se aplicaNão se aplicaIntermediário",Mercado_Receita!$L$2:$L$298)+SUMIF(Mercado_Receita!$S$2:$S$298,"44440B2ConvencionalRuralNão se aplicaNão se aplicaNão se aplicaNão se aplica",Mercado_Receita!$L$2:$L$298)</f>
        <v>131.369</v>
      </c>
      <c r="O30" s="12">
        <f>SUMIF(Mercado_Receita!$S$2:$S$298,"44470B2ConvencionalRuralNão se aplicaNão se aplicaNão se aplicaPonta",Mercado_Receita!$L$2:$L$298)+SUMIF(Mercado_Receita!$S$2:$S$298,"44470B2ConvencionalRuralNão se aplicaNão se aplicaNão se aplicaFora ponta",Mercado_Receita!$L$2:$L$298)+SUMIF(Mercado_Receita!$S$2:$S$298,"44470B2ConvencionalRuralNão se aplicaNão se aplicaNão se aplicaIntermediário",Mercado_Receita!$L$2:$L$298)+SUMIF(Mercado_Receita!$S$2:$S$298,"44470B2ConvencionalRuralNão se aplicaNão se aplicaNão se aplicaNão se aplica",Mercado_Receita!$L$2:$L$298)</f>
        <v>118.01400000000001</v>
      </c>
      <c r="P30" s="12">
        <f>SUMIF(Mercado_Receita!$S$2:$S$298,"44501B2ConvencionalRuralNão se aplicaNão se aplicaNão se aplicaPonta",Mercado_Receita!$L$2:$L$298)+SUMIF(Mercado_Receita!$S$2:$S$298,"44501B2ConvencionalRuralNão se aplicaNão se aplicaNão se aplicaFora ponta",Mercado_Receita!$L$2:$L$298)+SUMIF(Mercado_Receita!$S$2:$S$298,"44501B2ConvencionalRuralNão se aplicaNão se aplicaNão se aplicaIntermediário",Mercado_Receita!$L$2:$L$298)+SUMIF(Mercado_Receita!$S$2:$S$298,"44501B2ConvencionalRuralNão se aplicaNão se aplicaNão se aplicaNão se aplica",Mercado_Receita!$L$2:$L$298)</f>
        <v>125.24699999999999</v>
      </c>
      <c r="Q30" s="12">
        <f>SUMIF(Mercado_Receita!$S$2:$S$298,"44531B2ConvencionalRuralNão se aplicaNão se aplicaNão se aplicaPonta",Mercado_Receita!$L$2:$L$298)+SUMIF(Mercado_Receita!$S$2:$S$298,"44531B2ConvencionalRuralNão se aplicaNão se aplicaNão se aplicaFora ponta",Mercado_Receita!$L$2:$L$298)+SUMIF(Mercado_Receita!$S$2:$S$298,"44531B2ConvencionalRuralNão se aplicaNão se aplicaNão se aplicaIntermediário",Mercado_Receita!$L$2:$L$298)+SUMIF(Mercado_Receita!$S$2:$S$298,"44531B2ConvencionalRuralNão se aplicaNão se aplicaNão se aplicaNão se aplica",Mercado_Receita!$L$2:$L$298)</f>
        <v>130.18299999999999</v>
      </c>
      <c r="R30" s="12">
        <f>SUMIF(Mercado_Receita!$S$2:$S$298,"44562B2ConvencionalRuralNão se aplicaNão se aplicaNão se aplicaPonta",Mercado_Receita!$L$2:$L$298)+SUMIF(Mercado_Receita!$S$2:$S$298,"44562B2ConvencionalRuralNão se aplicaNão se aplicaNão se aplicaFora ponta",Mercado_Receita!$L$2:$L$298)+SUMIF(Mercado_Receita!$S$2:$S$298,"44562B2ConvencionalRuralNão se aplicaNão se aplicaNão se aplicaIntermediário",Mercado_Receita!$L$2:$L$298)+SUMIF(Mercado_Receita!$S$2:$S$298,"44562B2ConvencionalRuralNão se aplicaNão se aplicaNão se aplicaNão se aplica",Mercado_Receita!$L$2:$L$298)</f>
        <v>134.14000000000001</v>
      </c>
      <c r="S30" s="12">
        <f>SUMIF(Mercado_Receita!$S$2:$S$298,"44593B2ConvencionalRuralNão se aplicaNão se aplicaNão se aplicaPonta",Mercado_Receita!$L$2:$L$298)+SUMIF(Mercado_Receita!$S$2:$S$298,"44593B2ConvencionalRuralNão se aplicaNão se aplicaNão se aplicaFora ponta",Mercado_Receita!$L$2:$L$298)+SUMIF(Mercado_Receita!$S$2:$S$298,"44593B2ConvencionalRuralNão se aplicaNão se aplicaNão se aplicaIntermediário",Mercado_Receita!$L$2:$L$298)+SUMIF(Mercado_Receita!$S$2:$S$298,"44593B2ConvencionalRuralNão se aplicaNão se aplicaNão se aplicaNão se aplica",Mercado_Receita!$L$2:$L$298)</f>
        <v>131.87</v>
      </c>
      <c r="T30" s="12">
        <f>SUMIF(Mercado_Receita!$S$2:$S$298,"44621B2ConvencionalRuralNão se aplicaNão se aplicaNão se aplicaPonta",Mercado_Receita!$L$2:$L$298)+SUMIF(Mercado_Receita!$S$2:$S$298,"44621B2ConvencionalRuralNão se aplicaNão se aplicaNão se aplicaFora ponta",Mercado_Receita!$L$2:$L$298)+SUMIF(Mercado_Receita!$S$2:$S$298,"44621B2ConvencionalRuralNão se aplicaNão se aplicaNão se aplicaIntermediário",Mercado_Receita!$L$2:$L$298)+SUMIF(Mercado_Receita!$S$2:$S$298,"44621B2ConvencionalRuralNão se aplicaNão se aplicaNão se aplicaNão se aplica",Mercado_Receita!$L$2:$L$298)</f>
        <v>124.10299999999999</v>
      </c>
      <c r="U30" s="12">
        <f t="shared" si="0"/>
        <v>1516.1360000000004</v>
      </c>
      <c r="V30" s="12"/>
      <c r="W30" s="12"/>
    </row>
    <row r="31" spans="1:23" ht="11.25" customHeight="1" x14ac:dyDescent="0.3">
      <c r="A31" s="107"/>
      <c r="B31" s="106" t="s">
        <v>82</v>
      </c>
      <c r="C31" s="106" t="s">
        <v>41</v>
      </c>
      <c r="D31" s="106" t="s">
        <v>85</v>
      </c>
      <c r="E31" s="106" t="s">
        <v>25</v>
      </c>
      <c r="F31" s="106" t="s">
        <v>25</v>
      </c>
      <c r="G31" s="12" t="s">
        <v>68</v>
      </c>
      <c r="H31" s="12" t="s">
        <v>67</v>
      </c>
      <c r="I31" s="12">
        <f>SUMIF(Mercado_Receita!$S$2:$S$298,"44287B2BrancaRuralCooperativa de eletrificação ruralNão se aplicaNão se aplicaPonta",Mercado_Receita!$L$2:$L$298)</f>
        <v>0</v>
      </c>
      <c r="J31" s="12">
        <f>SUMIF(Mercado_Receita!$S$2:$S$298,"44317B2BrancaRuralCooperativa de eletrificação ruralNão se aplicaNão se aplicaPonta",Mercado_Receita!$L$2:$L$298)</f>
        <v>0</v>
      </c>
      <c r="K31" s="12">
        <f>SUMIF(Mercado_Receita!$S$2:$S$298,"44348B2BrancaRuralCooperativa de eletrificação ruralNão se aplicaNão se aplicaPonta",Mercado_Receita!$L$2:$L$298)</f>
        <v>0</v>
      </c>
      <c r="L31" s="12">
        <f>SUMIF(Mercado_Receita!$S$2:$S$298,"44378B2BrancaRuralCooperativa de eletrificação ruralNão se aplicaNão se aplicaPonta",Mercado_Receita!$L$2:$L$298)</f>
        <v>0</v>
      </c>
      <c r="M31" s="12">
        <f>SUMIF(Mercado_Receita!$S$2:$S$298,"44409B2BrancaRuralCooperativa de eletrificação ruralNão se aplicaNão se aplicaPonta",Mercado_Receita!$L$2:$L$298)</f>
        <v>0</v>
      </c>
      <c r="N31" s="12">
        <f>SUMIF(Mercado_Receita!$S$2:$S$298,"44440B2BrancaRuralCooperativa de eletrificação ruralNão se aplicaNão se aplicaPonta",Mercado_Receita!$L$2:$L$298)</f>
        <v>0</v>
      </c>
      <c r="O31" s="12">
        <f>SUMIF(Mercado_Receita!$S$2:$S$298,"44470B2BrancaRuralCooperativa de eletrificação ruralNão se aplicaNão se aplicaPonta",Mercado_Receita!$L$2:$L$298)</f>
        <v>0</v>
      </c>
      <c r="P31" s="12">
        <f>SUMIF(Mercado_Receita!$S$2:$S$298,"44501B2BrancaRuralCooperativa de eletrificação ruralNão se aplicaNão se aplicaPonta",Mercado_Receita!$L$2:$L$298)</f>
        <v>0</v>
      </c>
      <c r="Q31" s="12">
        <f>SUMIF(Mercado_Receita!$S$2:$S$298,"44531B2BrancaRuralCooperativa de eletrificação ruralNão se aplicaNão se aplicaPonta",Mercado_Receita!$L$2:$L$298)</f>
        <v>0</v>
      </c>
      <c r="R31" s="12">
        <f>SUMIF(Mercado_Receita!$S$2:$S$298,"44562B2BrancaRuralCooperativa de eletrificação ruralNão se aplicaNão se aplicaPonta",Mercado_Receita!$L$2:$L$298)</f>
        <v>0</v>
      </c>
      <c r="S31" s="12">
        <f>SUMIF(Mercado_Receita!$S$2:$S$298,"44593B2BrancaRuralCooperativa de eletrificação ruralNão se aplicaNão se aplicaPonta",Mercado_Receita!$L$2:$L$298)</f>
        <v>0</v>
      </c>
      <c r="T31" s="12">
        <f>SUMIF(Mercado_Receita!$S$2:$S$298,"44621B2BrancaRuralCooperativa de eletrificação ruralNão se aplicaNão se aplicaPonta",Mercado_Receita!$L$2:$L$298)</f>
        <v>0</v>
      </c>
      <c r="U31" s="12">
        <f t="shared" si="0"/>
        <v>0</v>
      </c>
      <c r="V31" s="12"/>
      <c r="W31" s="12"/>
    </row>
    <row r="32" spans="1:23" ht="11.25" customHeight="1" x14ac:dyDescent="0.3">
      <c r="A32" s="107"/>
      <c r="B32" s="107"/>
      <c r="C32" s="107"/>
      <c r="D32" s="107"/>
      <c r="E32" s="107"/>
      <c r="F32" s="107"/>
      <c r="G32" s="12" t="s">
        <v>80</v>
      </c>
      <c r="H32" s="12" t="s">
        <v>67</v>
      </c>
      <c r="I32" s="12">
        <f>SUMIF(Mercado_Receita!$S$2:$S$298,"44287B2BrancaRuralCooperativa de eletrificação ruralNão se aplicaNão se aplicaIntermediário",Mercado_Receita!$L$2:$L$298)</f>
        <v>0</v>
      </c>
      <c r="J32" s="12">
        <f>SUMIF(Mercado_Receita!$S$2:$S$298,"44317B2BrancaRuralCooperativa de eletrificação ruralNão se aplicaNão se aplicaIntermediário",Mercado_Receita!$L$2:$L$298)</f>
        <v>0</v>
      </c>
      <c r="K32" s="12">
        <f>SUMIF(Mercado_Receita!$S$2:$S$298,"44348B2BrancaRuralCooperativa de eletrificação ruralNão se aplicaNão se aplicaIntermediário",Mercado_Receita!$L$2:$L$298)</f>
        <v>0</v>
      </c>
      <c r="L32" s="12">
        <f>SUMIF(Mercado_Receita!$S$2:$S$298,"44378B2BrancaRuralCooperativa de eletrificação ruralNão se aplicaNão se aplicaIntermediário",Mercado_Receita!$L$2:$L$298)</f>
        <v>0</v>
      </c>
      <c r="M32" s="12">
        <f>SUMIF(Mercado_Receita!$S$2:$S$298,"44409B2BrancaRuralCooperativa de eletrificação ruralNão se aplicaNão se aplicaIntermediário",Mercado_Receita!$L$2:$L$298)</f>
        <v>0</v>
      </c>
      <c r="N32" s="12">
        <f>SUMIF(Mercado_Receita!$S$2:$S$298,"44440B2BrancaRuralCooperativa de eletrificação ruralNão se aplicaNão se aplicaIntermediário",Mercado_Receita!$L$2:$L$298)</f>
        <v>0</v>
      </c>
      <c r="O32" s="12">
        <f>SUMIF(Mercado_Receita!$S$2:$S$298,"44470B2BrancaRuralCooperativa de eletrificação ruralNão se aplicaNão se aplicaIntermediário",Mercado_Receita!$L$2:$L$298)</f>
        <v>0</v>
      </c>
      <c r="P32" s="12">
        <f>SUMIF(Mercado_Receita!$S$2:$S$298,"44501B2BrancaRuralCooperativa de eletrificação ruralNão se aplicaNão se aplicaIntermediário",Mercado_Receita!$L$2:$L$298)</f>
        <v>0</v>
      </c>
      <c r="Q32" s="12">
        <f>SUMIF(Mercado_Receita!$S$2:$S$298,"44531B2BrancaRuralCooperativa de eletrificação ruralNão se aplicaNão se aplicaIntermediário",Mercado_Receita!$L$2:$L$298)</f>
        <v>0</v>
      </c>
      <c r="R32" s="12">
        <f>SUMIF(Mercado_Receita!$S$2:$S$298,"44562B2BrancaRuralCooperativa de eletrificação ruralNão se aplicaNão se aplicaIntermediário",Mercado_Receita!$L$2:$L$298)</f>
        <v>0</v>
      </c>
      <c r="S32" s="12">
        <f>SUMIF(Mercado_Receita!$S$2:$S$298,"44593B2BrancaRuralCooperativa de eletrificação ruralNão se aplicaNão se aplicaIntermediário",Mercado_Receita!$L$2:$L$298)</f>
        <v>0</v>
      </c>
      <c r="T32" s="12">
        <f>SUMIF(Mercado_Receita!$S$2:$S$298,"44621B2BrancaRuralCooperativa de eletrificação ruralNão se aplicaNão se aplicaIntermediário",Mercado_Receita!$L$2:$L$298)</f>
        <v>0</v>
      </c>
      <c r="U32" s="12">
        <f t="shared" si="0"/>
        <v>0</v>
      </c>
      <c r="V32" s="12"/>
      <c r="W32" s="12"/>
    </row>
    <row r="33" spans="1:23" ht="11.25" customHeight="1" x14ac:dyDescent="0.3">
      <c r="A33" s="107"/>
      <c r="B33" s="107"/>
      <c r="C33" s="107"/>
      <c r="D33" s="107"/>
      <c r="E33" s="107"/>
      <c r="F33" s="107"/>
      <c r="G33" s="12" t="s">
        <v>69</v>
      </c>
      <c r="H33" s="12" t="s">
        <v>67</v>
      </c>
      <c r="I33" s="12">
        <f>SUMIF(Mercado_Receita!$S$2:$S$298,"44287B2BrancaRuralCooperativa de eletrificação ruralNão se aplicaNão se aplicaFora ponta",Mercado_Receita!$L$2:$L$298)</f>
        <v>0</v>
      </c>
      <c r="J33" s="12">
        <f>SUMIF(Mercado_Receita!$S$2:$S$298,"44317B2BrancaRuralCooperativa de eletrificação ruralNão se aplicaNão se aplicaFora ponta",Mercado_Receita!$L$2:$L$298)</f>
        <v>0</v>
      </c>
      <c r="K33" s="12">
        <f>SUMIF(Mercado_Receita!$S$2:$S$298,"44348B2BrancaRuralCooperativa de eletrificação ruralNão se aplicaNão se aplicaFora ponta",Mercado_Receita!$L$2:$L$298)</f>
        <v>0</v>
      </c>
      <c r="L33" s="12">
        <f>SUMIF(Mercado_Receita!$S$2:$S$298,"44378B2BrancaRuralCooperativa de eletrificação ruralNão se aplicaNão se aplicaFora ponta",Mercado_Receita!$L$2:$L$298)</f>
        <v>0</v>
      </c>
      <c r="M33" s="12">
        <f>SUMIF(Mercado_Receita!$S$2:$S$298,"44409B2BrancaRuralCooperativa de eletrificação ruralNão se aplicaNão se aplicaFora ponta",Mercado_Receita!$L$2:$L$298)</f>
        <v>0</v>
      </c>
      <c r="N33" s="12">
        <f>SUMIF(Mercado_Receita!$S$2:$S$298,"44440B2BrancaRuralCooperativa de eletrificação ruralNão se aplicaNão se aplicaFora ponta",Mercado_Receita!$L$2:$L$298)</f>
        <v>0</v>
      </c>
      <c r="O33" s="12">
        <f>SUMIF(Mercado_Receita!$S$2:$S$298,"44470B2BrancaRuralCooperativa de eletrificação ruralNão se aplicaNão se aplicaFora ponta",Mercado_Receita!$L$2:$L$298)</f>
        <v>0</v>
      </c>
      <c r="P33" s="12">
        <f>SUMIF(Mercado_Receita!$S$2:$S$298,"44501B2BrancaRuralCooperativa de eletrificação ruralNão se aplicaNão se aplicaFora ponta",Mercado_Receita!$L$2:$L$298)</f>
        <v>0</v>
      </c>
      <c r="Q33" s="12">
        <f>SUMIF(Mercado_Receita!$S$2:$S$298,"44531B2BrancaRuralCooperativa de eletrificação ruralNão se aplicaNão se aplicaFora ponta",Mercado_Receita!$L$2:$L$298)</f>
        <v>0</v>
      </c>
      <c r="R33" s="12">
        <f>SUMIF(Mercado_Receita!$S$2:$S$298,"44562B2BrancaRuralCooperativa de eletrificação ruralNão se aplicaNão se aplicaFora ponta",Mercado_Receita!$L$2:$L$298)</f>
        <v>0</v>
      </c>
      <c r="S33" s="12">
        <f>SUMIF(Mercado_Receita!$S$2:$S$298,"44593B2BrancaRuralCooperativa de eletrificação ruralNão se aplicaNão se aplicaFora ponta",Mercado_Receita!$L$2:$L$298)</f>
        <v>0</v>
      </c>
      <c r="T33" s="12">
        <f>SUMIF(Mercado_Receita!$S$2:$S$298,"44621B2BrancaRuralCooperativa de eletrificação ruralNão se aplicaNão se aplicaFora ponta",Mercado_Receita!$L$2:$L$298)</f>
        <v>0</v>
      </c>
      <c r="U33" s="12">
        <f t="shared" si="0"/>
        <v>0</v>
      </c>
      <c r="V33" s="12"/>
      <c r="W33" s="12"/>
    </row>
    <row r="34" spans="1:23" ht="11.25" customHeight="1" x14ac:dyDescent="0.3">
      <c r="A34" s="107"/>
      <c r="B34" s="13" t="s">
        <v>23</v>
      </c>
      <c r="C34" s="13" t="s">
        <v>41</v>
      </c>
      <c r="D34" s="13" t="s">
        <v>85</v>
      </c>
      <c r="E34" s="13" t="s">
        <v>25</v>
      </c>
      <c r="F34" s="13" t="s">
        <v>25</v>
      </c>
      <c r="G34" s="12" t="s">
        <v>74</v>
      </c>
      <c r="H34" s="12" t="s">
        <v>67</v>
      </c>
      <c r="I34" s="12">
        <f>SUMIF(Mercado_Receita!$S$2:$S$298,"44287B2ConvencionalRuralCooperativa de eletrificação ruralNão se aplicaNão se aplicaPonta",Mercado_Receita!$L$2:$L$298)+SUMIF(Mercado_Receita!$S$2:$S$298,"44287B2ConvencionalRuralCooperativa de eletrificação ruralNão se aplicaNão se aplicaFora ponta",Mercado_Receita!$L$2:$L$298)+SUMIF(Mercado_Receita!$S$2:$S$298,"44287B2ConvencionalRuralCooperativa de eletrificação ruralNão se aplicaNão se aplicaIntermediário",Mercado_Receita!$L$2:$L$298)+SUMIF(Mercado_Receita!$S$2:$S$298,"44287B2ConvencionalRuralCooperativa de eletrificação ruralNão se aplicaNão se aplicaNão se aplica",Mercado_Receita!$L$2:$L$298)</f>
        <v>0</v>
      </c>
      <c r="J34" s="12">
        <f>SUMIF(Mercado_Receita!$S$2:$S$298,"44317B2ConvencionalRuralCooperativa de eletrificação ruralNão se aplicaNão se aplicaPonta",Mercado_Receita!$L$2:$L$298)+SUMIF(Mercado_Receita!$S$2:$S$298,"44317B2ConvencionalRuralCooperativa de eletrificação ruralNão se aplicaNão se aplicaFora ponta",Mercado_Receita!$L$2:$L$298)+SUMIF(Mercado_Receita!$S$2:$S$298,"44317B2ConvencionalRuralCooperativa de eletrificação ruralNão se aplicaNão se aplicaIntermediário",Mercado_Receita!$L$2:$L$298)+SUMIF(Mercado_Receita!$S$2:$S$298,"44317B2ConvencionalRuralCooperativa de eletrificação ruralNão se aplicaNão se aplicaNão se aplica",Mercado_Receita!$L$2:$L$298)</f>
        <v>0</v>
      </c>
      <c r="K34" s="12">
        <f>SUMIF(Mercado_Receita!$S$2:$S$298,"44348B2ConvencionalRuralCooperativa de eletrificação ruralNão se aplicaNão se aplicaPonta",Mercado_Receita!$L$2:$L$298)+SUMIF(Mercado_Receita!$S$2:$S$298,"44348B2ConvencionalRuralCooperativa de eletrificação ruralNão se aplicaNão se aplicaFora ponta",Mercado_Receita!$L$2:$L$298)+SUMIF(Mercado_Receita!$S$2:$S$298,"44348B2ConvencionalRuralCooperativa de eletrificação ruralNão se aplicaNão se aplicaIntermediário",Mercado_Receita!$L$2:$L$298)+SUMIF(Mercado_Receita!$S$2:$S$298,"44348B2ConvencionalRuralCooperativa de eletrificação ruralNão se aplicaNão se aplicaNão se aplica",Mercado_Receita!$L$2:$L$298)</f>
        <v>0</v>
      </c>
      <c r="L34" s="12">
        <f>SUMIF(Mercado_Receita!$S$2:$S$298,"44378B2ConvencionalRuralCooperativa de eletrificação ruralNão se aplicaNão se aplicaPonta",Mercado_Receita!$L$2:$L$298)+SUMIF(Mercado_Receita!$S$2:$S$298,"44378B2ConvencionalRuralCooperativa de eletrificação ruralNão se aplicaNão se aplicaFora ponta",Mercado_Receita!$L$2:$L$298)+SUMIF(Mercado_Receita!$S$2:$S$298,"44378B2ConvencionalRuralCooperativa de eletrificação ruralNão se aplicaNão se aplicaIntermediário",Mercado_Receita!$L$2:$L$298)+SUMIF(Mercado_Receita!$S$2:$S$298,"44378B2ConvencionalRuralCooperativa de eletrificação ruralNão se aplicaNão se aplicaNão se aplica",Mercado_Receita!$L$2:$L$298)</f>
        <v>0</v>
      </c>
      <c r="M34" s="12">
        <f>SUMIF(Mercado_Receita!$S$2:$S$298,"44409B2ConvencionalRuralCooperativa de eletrificação ruralNão se aplicaNão se aplicaPonta",Mercado_Receita!$L$2:$L$298)+SUMIF(Mercado_Receita!$S$2:$S$298,"44409B2ConvencionalRuralCooperativa de eletrificação ruralNão se aplicaNão se aplicaFora ponta",Mercado_Receita!$L$2:$L$298)+SUMIF(Mercado_Receita!$S$2:$S$298,"44409B2ConvencionalRuralCooperativa de eletrificação ruralNão se aplicaNão se aplicaIntermediário",Mercado_Receita!$L$2:$L$298)+SUMIF(Mercado_Receita!$S$2:$S$298,"44409B2ConvencionalRuralCooperativa de eletrificação ruralNão se aplicaNão se aplicaNão se aplica",Mercado_Receita!$L$2:$L$298)</f>
        <v>0</v>
      </c>
      <c r="N34" s="12">
        <f>SUMIF(Mercado_Receita!$S$2:$S$298,"44440B2ConvencionalRuralCooperativa de eletrificação ruralNão se aplicaNão se aplicaPonta",Mercado_Receita!$L$2:$L$298)+SUMIF(Mercado_Receita!$S$2:$S$298,"44440B2ConvencionalRuralCooperativa de eletrificação ruralNão se aplicaNão se aplicaFora ponta",Mercado_Receita!$L$2:$L$298)+SUMIF(Mercado_Receita!$S$2:$S$298,"44440B2ConvencionalRuralCooperativa de eletrificação ruralNão se aplicaNão se aplicaIntermediário",Mercado_Receita!$L$2:$L$298)+SUMIF(Mercado_Receita!$S$2:$S$298,"44440B2ConvencionalRuralCooperativa de eletrificação ruralNão se aplicaNão se aplicaNão se aplica",Mercado_Receita!$L$2:$L$298)</f>
        <v>0</v>
      </c>
      <c r="O34" s="12">
        <f>SUMIF(Mercado_Receita!$S$2:$S$298,"44470B2ConvencionalRuralCooperativa de eletrificação ruralNão se aplicaNão se aplicaPonta",Mercado_Receita!$L$2:$L$298)+SUMIF(Mercado_Receita!$S$2:$S$298,"44470B2ConvencionalRuralCooperativa de eletrificação ruralNão se aplicaNão se aplicaFora ponta",Mercado_Receita!$L$2:$L$298)+SUMIF(Mercado_Receita!$S$2:$S$298,"44470B2ConvencionalRuralCooperativa de eletrificação ruralNão se aplicaNão se aplicaIntermediário",Mercado_Receita!$L$2:$L$298)+SUMIF(Mercado_Receita!$S$2:$S$298,"44470B2ConvencionalRuralCooperativa de eletrificação ruralNão se aplicaNão se aplicaNão se aplica",Mercado_Receita!$L$2:$L$298)</f>
        <v>0</v>
      </c>
      <c r="P34" s="12">
        <f>SUMIF(Mercado_Receita!$S$2:$S$298,"44501B2ConvencionalRuralCooperativa de eletrificação ruralNão se aplicaNão se aplicaPonta",Mercado_Receita!$L$2:$L$298)+SUMIF(Mercado_Receita!$S$2:$S$298,"44501B2ConvencionalRuralCooperativa de eletrificação ruralNão se aplicaNão se aplicaFora ponta",Mercado_Receita!$L$2:$L$298)+SUMIF(Mercado_Receita!$S$2:$S$298,"44501B2ConvencionalRuralCooperativa de eletrificação ruralNão se aplicaNão se aplicaIntermediário",Mercado_Receita!$L$2:$L$298)+SUMIF(Mercado_Receita!$S$2:$S$298,"44501B2ConvencionalRuralCooperativa de eletrificação ruralNão se aplicaNão se aplicaNão se aplica",Mercado_Receita!$L$2:$L$298)</f>
        <v>0</v>
      </c>
      <c r="Q34" s="12">
        <f>SUMIF(Mercado_Receita!$S$2:$S$298,"44531B2ConvencionalRuralCooperativa de eletrificação ruralNão se aplicaNão se aplicaPonta",Mercado_Receita!$L$2:$L$298)+SUMIF(Mercado_Receita!$S$2:$S$298,"44531B2ConvencionalRuralCooperativa de eletrificação ruralNão se aplicaNão se aplicaFora ponta",Mercado_Receita!$L$2:$L$298)+SUMIF(Mercado_Receita!$S$2:$S$298,"44531B2ConvencionalRuralCooperativa de eletrificação ruralNão se aplicaNão se aplicaIntermediário",Mercado_Receita!$L$2:$L$298)+SUMIF(Mercado_Receita!$S$2:$S$298,"44531B2ConvencionalRuralCooperativa de eletrificação ruralNão se aplicaNão se aplicaNão se aplica",Mercado_Receita!$L$2:$L$298)</f>
        <v>0</v>
      </c>
      <c r="R34" s="12">
        <f>SUMIF(Mercado_Receita!$S$2:$S$298,"44562B2ConvencionalRuralCooperativa de eletrificação ruralNão se aplicaNão se aplicaPonta",Mercado_Receita!$L$2:$L$298)+SUMIF(Mercado_Receita!$S$2:$S$298,"44562B2ConvencionalRuralCooperativa de eletrificação ruralNão se aplicaNão se aplicaFora ponta",Mercado_Receita!$L$2:$L$298)+SUMIF(Mercado_Receita!$S$2:$S$298,"44562B2ConvencionalRuralCooperativa de eletrificação ruralNão se aplicaNão se aplicaIntermediário",Mercado_Receita!$L$2:$L$298)+SUMIF(Mercado_Receita!$S$2:$S$298,"44562B2ConvencionalRuralCooperativa de eletrificação ruralNão se aplicaNão se aplicaNão se aplica",Mercado_Receita!$L$2:$L$298)</f>
        <v>0</v>
      </c>
      <c r="S34" s="12">
        <f>SUMIF(Mercado_Receita!$S$2:$S$298,"44593B2ConvencionalRuralCooperativa de eletrificação ruralNão se aplicaNão se aplicaPonta",Mercado_Receita!$L$2:$L$298)+SUMIF(Mercado_Receita!$S$2:$S$298,"44593B2ConvencionalRuralCooperativa de eletrificação ruralNão se aplicaNão se aplicaFora ponta",Mercado_Receita!$L$2:$L$298)+SUMIF(Mercado_Receita!$S$2:$S$298,"44593B2ConvencionalRuralCooperativa de eletrificação ruralNão se aplicaNão se aplicaIntermediário",Mercado_Receita!$L$2:$L$298)+SUMIF(Mercado_Receita!$S$2:$S$298,"44593B2ConvencionalRuralCooperativa de eletrificação ruralNão se aplicaNão se aplicaNão se aplica",Mercado_Receita!$L$2:$L$298)</f>
        <v>0</v>
      </c>
      <c r="T34" s="12">
        <f>SUMIF(Mercado_Receita!$S$2:$S$298,"44621B2ConvencionalRuralCooperativa de eletrificação ruralNão se aplicaNão se aplicaPonta",Mercado_Receita!$L$2:$L$298)+SUMIF(Mercado_Receita!$S$2:$S$298,"44621B2ConvencionalRuralCooperativa de eletrificação ruralNão se aplicaNão se aplicaFora ponta",Mercado_Receita!$L$2:$L$298)+SUMIF(Mercado_Receita!$S$2:$S$298,"44621B2ConvencionalRuralCooperativa de eletrificação ruralNão se aplicaNão se aplicaIntermediário",Mercado_Receita!$L$2:$L$298)+SUMIF(Mercado_Receita!$S$2:$S$298,"44621B2ConvencionalRuralCooperativa de eletrificação ruralNão se aplicaNão se aplicaNão se aplica",Mercado_Receita!$L$2:$L$298)</f>
        <v>0</v>
      </c>
      <c r="U34" s="12">
        <f t="shared" si="0"/>
        <v>0</v>
      </c>
      <c r="V34" s="12"/>
      <c r="W34" s="12"/>
    </row>
    <row r="35" spans="1:23" ht="11.25" customHeight="1" x14ac:dyDescent="0.3">
      <c r="A35" s="107"/>
      <c r="B35" s="106" t="s">
        <v>82</v>
      </c>
      <c r="C35" s="106" t="s">
        <v>41</v>
      </c>
      <c r="D35" s="106" t="s">
        <v>86</v>
      </c>
      <c r="E35" s="106" t="s">
        <v>25</v>
      </c>
      <c r="F35" s="106" t="s">
        <v>25</v>
      </c>
      <c r="G35" s="12" t="s">
        <v>68</v>
      </c>
      <c r="H35" s="12" t="s">
        <v>67</v>
      </c>
      <c r="I35" s="12">
        <f>SUMIF(Mercado_Receita!$S$2:$S$298,"44287B2BrancaRuralServiço público de irrigação ruralNão se aplicaNão se aplicaPonta",Mercado_Receita!$L$2:$L$298)</f>
        <v>0</v>
      </c>
      <c r="J35" s="12">
        <f>SUMIF(Mercado_Receita!$S$2:$S$298,"44317B2BrancaRuralServiço público de irrigação ruralNão se aplicaNão se aplicaPonta",Mercado_Receita!$L$2:$L$298)</f>
        <v>0</v>
      </c>
      <c r="K35" s="12">
        <f>SUMIF(Mercado_Receita!$S$2:$S$298,"44348B2BrancaRuralServiço público de irrigação ruralNão se aplicaNão se aplicaPonta",Mercado_Receita!$L$2:$L$298)</f>
        <v>0</v>
      </c>
      <c r="L35" s="12">
        <f>SUMIF(Mercado_Receita!$S$2:$S$298,"44378B2BrancaRuralServiço público de irrigação ruralNão se aplicaNão se aplicaPonta",Mercado_Receita!$L$2:$L$298)</f>
        <v>0</v>
      </c>
      <c r="M35" s="12">
        <f>SUMIF(Mercado_Receita!$S$2:$S$298,"44409B2BrancaRuralServiço público de irrigação ruralNão se aplicaNão se aplicaPonta",Mercado_Receita!$L$2:$L$298)</f>
        <v>0</v>
      </c>
      <c r="N35" s="12">
        <f>SUMIF(Mercado_Receita!$S$2:$S$298,"44440B2BrancaRuralServiço público de irrigação ruralNão se aplicaNão se aplicaPonta",Mercado_Receita!$L$2:$L$298)</f>
        <v>0</v>
      </c>
      <c r="O35" s="12">
        <f>SUMIF(Mercado_Receita!$S$2:$S$298,"44470B2BrancaRuralServiço público de irrigação ruralNão se aplicaNão se aplicaPonta",Mercado_Receita!$L$2:$L$298)</f>
        <v>0</v>
      </c>
      <c r="P35" s="12">
        <f>SUMIF(Mercado_Receita!$S$2:$S$298,"44501B2BrancaRuralServiço público de irrigação ruralNão se aplicaNão se aplicaPonta",Mercado_Receita!$L$2:$L$298)</f>
        <v>0</v>
      </c>
      <c r="Q35" s="12">
        <f>SUMIF(Mercado_Receita!$S$2:$S$298,"44531B2BrancaRuralServiço público de irrigação ruralNão se aplicaNão se aplicaPonta",Mercado_Receita!$L$2:$L$298)</f>
        <v>0</v>
      </c>
      <c r="R35" s="12">
        <f>SUMIF(Mercado_Receita!$S$2:$S$298,"44562B2BrancaRuralServiço público de irrigação ruralNão se aplicaNão se aplicaPonta",Mercado_Receita!$L$2:$L$298)</f>
        <v>0</v>
      </c>
      <c r="S35" s="12">
        <f>SUMIF(Mercado_Receita!$S$2:$S$298,"44593B2BrancaRuralServiço público de irrigação ruralNão se aplicaNão se aplicaPonta",Mercado_Receita!$L$2:$L$298)</f>
        <v>0</v>
      </c>
      <c r="T35" s="12">
        <f>SUMIF(Mercado_Receita!$S$2:$S$298,"44621B2BrancaRuralServiço público de irrigação ruralNão se aplicaNão se aplicaPonta",Mercado_Receita!$L$2:$L$298)</f>
        <v>0</v>
      </c>
      <c r="U35" s="12">
        <f t="shared" si="0"/>
        <v>0</v>
      </c>
      <c r="V35" s="12"/>
      <c r="W35" s="12"/>
    </row>
    <row r="36" spans="1:23" ht="11.25" customHeight="1" x14ac:dyDescent="0.3">
      <c r="A36" s="107"/>
      <c r="B36" s="107"/>
      <c r="C36" s="107"/>
      <c r="D36" s="107"/>
      <c r="E36" s="107"/>
      <c r="F36" s="107"/>
      <c r="G36" s="12" t="s">
        <v>80</v>
      </c>
      <c r="H36" s="12" t="s">
        <v>67</v>
      </c>
      <c r="I36" s="12">
        <f>SUMIF(Mercado_Receita!$S$2:$S$298,"44287B2BrancaRuralServiço público de irrigação ruralNão se aplicaNão se aplicaIntermediário",Mercado_Receita!$L$2:$L$298)</f>
        <v>0</v>
      </c>
      <c r="J36" s="12">
        <f>SUMIF(Mercado_Receita!$S$2:$S$298,"44317B2BrancaRuralServiço público de irrigação ruralNão se aplicaNão se aplicaIntermediário",Mercado_Receita!$L$2:$L$298)</f>
        <v>0</v>
      </c>
      <c r="K36" s="12">
        <f>SUMIF(Mercado_Receita!$S$2:$S$298,"44348B2BrancaRuralServiço público de irrigação ruralNão se aplicaNão se aplicaIntermediário",Mercado_Receita!$L$2:$L$298)</f>
        <v>0</v>
      </c>
      <c r="L36" s="12">
        <f>SUMIF(Mercado_Receita!$S$2:$S$298,"44378B2BrancaRuralServiço público de irrigação ruralNão se aplicaNão se aplicaIntermediário",Mercado_Receita!$L$2:$L$298)</f>
        <v>0</v>
      </c>
      <c r="M36" s="12">
        <f>SUMIF(Mercado_Receita!$S$2:$S$298,"44409B2BrancaRuralServiço público de irrigação ruralNão se aplicaNão se aplicaIntermediário",Mercado_Receita!$L$2:$L$298)</f>
        <v>0</v>
      </c>
      <c r="N36" s="12">
        <f>SUMIF(Mercado_Receita!$S$2:$S$298,"44440B2BrancaRuralServiço público de irrigação ruralNão se aplicaNão se aplicaIntermediário",Mercado_Receita!$L$2:$L$298)</f>
        <v>0</v>
      </c>
      <c r="O36" s="12">
        <f>SUMIF(Mercado_Receita!$S$2:$S$298,"44470B2BrancaRuralServiço público de irrigação ruralNão se aplicaNão se aplicaIntermediário",Mercado_Receita!$L$2:$L$298)</f>
        <v>0</v>
      </c>
      <c r="P36" s="12">
        <f>SUMIF(Mercado_Receita!$S$2:$S$298,"44501B2BrancaRuralServiço público de irrigação ruralNão se aplicaNão se aplicaIntermediário",Mercado_Receita!$L$2:$L$298)</f>
        <v>0</v>
      </c>
      <c r="Q36" s="12">
        <f>SUMIF(Mercado_Receita!$S$2:$S$298,"44531B2BrancaRuralServiço público de irrigação ruralNão se aplicaNão se aplicaIntermediário",Mercado_Receita!$L$2:$L$298)</f>
        <v>0</v>
      </c>
      <c r="R36" s="12">
        <f>SUMIF(Mercado_Receita!$S$2:$S$298,"44562B2BrancaRuralServiço público de irrigação ruralNão se aplicaNão se aplicaIntermediário",Mercado_Receita!$L$2:$L$298)</f>
        <v>0</v>
      </c>
      <c r="S36" s="12">
        <f>SUMIF(Mercado_Receita!$S$2:$S$298,"44593B2BrancaRuralServiço público de irrigação ruralNão se aplicaNão se aplicaIntermediário",Mercado_Receita!$L$2:$L$298)</f>
        <v>0</v>
      </c>
      <c r="T36" s="12">
        <f>SUMIF(Mercado_Receita!$S$2:$S$298,"44621B2BrancaRuralServiço público de irrigação ruralNão se aplicaNão se aplicaIntermediário",Mercado_Receita!$L$2:$L$298)</f>
        <v>0</v>
      </c>
      <c r="U36" s="12">
        <f t="shared" si="0"/>
        <v>0</v>
      </c>
      <c r="V36" s="12"/>
      <c r="W36" s="12"/>
    </row>
    <row r="37" spans="1:23" ht="11.25" customHeight="1" x14ac:dyDescent="0.3">
      <c r="A37" s="107"/>
      <c r="B37" s="107"/>
      <c r="C37" s="107"/>
      <c r="D37" s="107"/>
      <c r="E37" s="107"/>
      <c r="F37" s="107"/>
      <c r="G37" s="12" t="s">
        <v>69</v>
      </c>
      <c r="H37" s="12" t="s">
        <v>67</v>
      </c>
      <c r="I37" s="12">
        <f>SUMIF(Mercado_Receita!$S$2:$S$298,"44287B2BrancaRuralServiço público de irrigação ruralNão se aplicaNão se aplicaFora ponta",Mercado_Receita!$L$2:$L$298)</f>
        <v>0</v>
      </c>
      <c r="J37" s="12">
        <f>SUMIF(Mercado_Receita!$S$2:$S$298,"44317B2BrancaRuralServiço público de irrigação ruralNão se aplicaNão se aplicaFora ponta",Mercado_Receita!$L$2:$L$298)</f>
        <v>0</v>
      </c>
      <c r="K37" s="12">
        <f>SUMIF(Mercado_Receita!$S$2:$S$298,"44348B2BrancaRuralServiço público de irrigação ruralNão se aplicaNão se aplicaFora ponta",Mercado_Receita!$L$2:$L$298)</f>
        <v>0</v>
      </c>
      <c r="L37" s="12">
        <f>SUMIF(Mercado_Receita!$S$2:$S$298,"44378B2BrancaRuralServiço público de irrigação ruralNão se aplicaNão se aplicaFora ponta",Mercado_Receita!$L$2:$L$298)</f>
        <v>0</v>
      </c>
      <c r="M37" s="12">
        <f>SUMIF(Mercado_Receita!$S$2:$S$298,"44409B2BrancaRuralServiço público de irrigação ruralNão se aplicaNão se aplicaFora ponta",Mercado_Receita!$L$2:$L$298)</f>
        <v>0</v>
      </c>
      <c r="N37" s="12">
        <f>SUMIF(Mercado_Receita!$S$2:$S$298,"44440B2BrancaRuralServiço público de irrigação ruralNão se aplicaNão se aplicaFora ponta",Mercado_Receita!$L$2:$L$298)</f>
        <v>0</v>
      </c>
      <c r="O37" s="12">
        <f>SUMIF(Mercado_Receita!$S$2:$S$298,"44470B2BrancaRuralServiço público de irrigação ruralNão se aplicaNão se aplicaFora ponta",Mercado_Receita!$L$2:$L$298)</f>
        <v>0</v>
      </c>
      <c r="P37" s="12">
        <f>SUMIF(Mercado_Receita!$S$2:$S$298,"44501B2BrancaRuralServiço público de irrigação ruralNão se aplicaNão se aplicaFora ponta",Mercado_Receita!$L$2:$L$298)</f>
        <v>0</v>
      </c>
      <c r="Q37" s="12">
        <f>SUMIF(Mercado_Receita!$S$2:$S$298,"44531B2BrancaRuralServiço público de irrigação ruralNão se aplicaNão se aplicaFora ponta",Mercado_Receita!$L$2:$L$298)</f>
        <v>0</v>
      </c>
      <c r="R37" s="12">
        <f>SUMIF(Mercado_Receita!$S$2:$S$298,"44562B2BrancaRuralServiço público de irrigação ruralNão se aplicaNão se aplicaFora ponta",Mercado_Receita!$L$2:$L$298)</f>
        <v>0</v>
      </c>
      <c r="S37" s="12">
        <f>SUMIF(Mercado_Receita!$S$2:$S$298,"44593B2BrancaRuralServiço público de irrigação ruralNão se aplicaNão se aplicaFora ponta",Mercado_Receita!$L$2:$L$298)</f>
        <v>0</v>
      </c>
      <c r="T37" s="12">
        <f>SUMIF(Mercado_Receita!$S$2:$S$298,"44621B2BrancaRuralServiço público de irrigação ruralNão se aplicaNão se aplicaFora ponta",Mercado_Receita!$L$2:$L$298)</f>
        <v>0</v>
      </c>
      <c r="U37" s="12">
        <f t="shared" si="0"/>
        <v>0</v>
      </c>
      <c r="V37" s="12"/>
      <c r="W37" s="12"/>
    </row>
    <row r="38" spans="1:23" ht="11.25" customHeight="1" x14ac:dyDescent="0.3">
      <c r="A38" s="107"/>
      <c r="B38" s="13" t="s">
        <v>23</v>
      </c>
      <c r="C38" s="13" t="s">
        <v>41</v>
      </c>
      <c r="D38" s="13" t="s">
        <v>86</v>
      </c>
      <c r="E38" s="13" t="s">
        <v>25</v>
      </c>
      <c r="F38" s="13" t="s">
        <v>25</v>
      </c>
      <c r="G38" s="12" t="s">
        <v>74</v>
      </c>
      <c r="H38" s="12" t="s">
        <v>67</v>
      </c>
      <c r="I38" s="12">
        <f>SUMIF(Mercado_Receita!$S$2:$S$298,"44287B2ConvencionalRuralServiço público de irrigação ruralNão se aplicaNão se aplicaPonta",Mercado_Receita!$L$2:$L$298)+SUMIF(Mercado_Receita!$S$2:$S$298,"44287B2ConvencionalRuralServiço público de irrigação ruralNão se aplicaNão se aplicaFora ponta",Mercado_Receita!$L$2:$L$298)+SUMIF(Mercado_Receita!$S$2:$S$298,"44287B2ConvencionalRuralServiço público de irrigação ruralNão se aplicaNão se aplicaIntermediário",Mercado_Receita!$L$2:$L$298)+SUMIF(Mercado_Receita!$S$2:$S$298,"44287B2ConvencionalRuralServiço público de irrigação ruralNão se aplicaNão se aplicaNão se aplica",Mercado_Receita!$L$2:$L$298)</f>
        <v>0</v>
      </c>
      <c r="J38" s="12">
        <f>SUMIF(Mercado_Receita!$S$2:$S$298,"44317B2ConvencionalRuralServiço público de irrigação ruralNão se aplicaNão se aplicaPonta",Mercado_Receita!$L$2:$L$298)+SUMIF(Mercado_Receita!$S$2:$S$298,"44317B2ConvencionalRuralServiço público de irrigação ruralNão se aplicaNão se aplicaFora ponta",Mercado_Receita!$L$2:$L$298)+SUMIF(Mercado_Receita!$S$2:$S$298,"44317B2ConvencionalRuralServiço público de irrigação ruralNão se aplicaNão se aplicaIntermediário",Mercado_Receita!$L$2:$L$298)+SUMIF(Mercado_Receita!$S$2:$S$298,"44317B2ConvencionalRuralServiço público de irrigação ruralNão se aplicaNão se aplicaNão se aplica",Mercado_Receita!$L$2:$L$298)</f>
        <v>0</v>
      </c>
      <c r="K38" s="12">
        <f>SUMIF(Mercado_Receita!$S$2:$S$298,"44348B2ConvencionalRuralServiço público de irrigação ruralNão se aplicaNão se aplicaPonta",Mercado_Receita!$L$2:$L$298)+SUMIF(Mercado_Receita!$S$2:$S$298,"44348B2ConvencionalRuralServiço público de irrigação ruralNão se aplicaNão se aplicaFora ponta",Mercado_Receita!$L$2:$L$298)+SUMIF(Mercado_Receita!$S$2:$S$298,"44348B2ConvencionalRuralServiço público de irrigação ruralNão se aplicaNão se aplicaIntermediário",Mercado_Receita!$L$2:$L$298)+SUMIF(Mercado_Receita!$S$2:$S$298,"44348B2ConvencionalRuralServiço público de irrigação ruralNão se aplicaNão se aplicaNão se aplica",Mercado_Receita!$L$2:$L$298)</f>
        <v>0</v>
      </c>
      <c r="L38" s="12">
        <f>SUMIF(Mercado_Receita!$S$2:$S$298,"44378B2ConvencionalRuralServiço público de irrigação ruralNão se aplicaNão se aplicaPonta",Mercado_Receita!$L$2:$L$298)+SUMIF(Mercado_Receita!$S$2:$S$298,"44378B2ConvencionalRuralServiço público de irrigação ruralNão se aplicaNão se aplicaFora ponta",Mercado_Receita!$L$2:$L$298)+SUMIF(Mercado_Receita!$S$2:$S$298,"44378B2ConvencionalRuralServiço público de irrigação ruralNão se aplicaNão se aplicaIntermediário",Mercado_Receita!$L$2:$L$298)+SUMIF(Mercado_Receita!$S$2:$S$298,"44378B2ConvencionalRuralServiço público de irrigação ruralNão se aplicaNão se aplicaNão se aplica",Mercado_Receita!$L$2:$L$298)</f>
        <v>0</v>
      </c>
      <c r="M38" s="12">
        <f>SUMIF(Mercado_Receita!$S$2:$S$298,"44409B2ConvencionalRuralServiço público de irrigação ruralNão se aplicaNão se aplicaPonta",Mercado_Receita!$L$2:$L$298)+SUMIF(Mercado_Receita!$S$2:$S$298,"44409B2ConvencionalRuralServiço público de irrigação ruralNão se aplicaNão se aplicaFora ponta",Mercado_Receita!$L$2:$L$298)+SUMIF(Mercado_Receita!$S$2:$S$298,"44409B2ConvencionalRuralServiço público de irrigação ruralNão se aplicaNão se aplicaIntermediário",Mercado_Receita!$L$2:$L$298)+SUMIF(Mercado_Receita!$S$2:$S$298,"44409B2ConvencionalRuralServiço público de irrigação ruralNão se aplicaNão se aplicaNão se aplica",Mercado_Receita!$L$2:$L$298)</f>
        <v>0</v>
      </c>
      <c r="N38" s="12">
        <f>SUMIF(Mercado_Receita!$S$2:$S$298,"44440B2ConvencionalRuralServiço público de irrigação ruralNão se aplicaNão se aplicaPonta",Mercado_Receita!$L$2:$L$298)+SUMIF(Mercado_Receita!$S$2:$S$298,"44440B2ConvencionalRuralServiço público de irrigação ruralNão se aplicaNão se aplicaFora ponta",Mercado_Receita!$L$2:$L$298)+SUMIF(Mercado_Receita!$S$2:$S$298,"44440B2ConvencionalRuralServiço público de irrigação ruralNão se aplicaNão se aplicaIntermediário",Mercado_Receita!$L$2:$L$298)+SUMIF(Mercado_Receita!$S$2:$S$298,"44440B2ConvencionalRuralServiço público de irrigação ruralNão se aplicaNão se aplicaNão se aplica",Mercado_Receita!$L$2:$L$298)</f>
        <v>0</v>
      </c>
      <c r="O38" s="12">
        <f>SUMIF(Mercado_Receita!$S$2:$S$298,"44470B2ConvencionalRuralServiço público de irrigação ruralNão se aplicaNão se aplicaPonta",Mercado_Receita!$L$2:$L$298)+SUMIF(Mercado_Receita!$S$2:$S$298,"44470B2ConvencionalRuralServiço público de irrigação ruralNão se aplicaNão se aplicaFora ponta",Mercado_Receita!$L$2:$L$298)+SUMIF(Mercado_Receita!$S$2:$S$298,"44470B2ConvencionalRuralServiço público de irrigação ruralNão se aplicaNão se aplicaIntermediário",Mercado_Receita!$L$2:$L$298)+SUMIF(Mercado_Receita!$S$2:$S$298,"44470B2ConvencionalRuralServiço público de irrigação ruralNão se aplicaNão se aplicaNão se aplica",Mercado_Receita!$L$2:$L$298)</f>
        <v>0</v>
      </c>
      <c r="P38" s="12">
        <f>SUMIF(Mercado_Receita!$S$2:$S$298,"44501B2ConvencionalRuralServiço público de irrigação ruralNão se aplicaNão se aplicaPonta",Mercado_Receita!$L$2:$L$298)+SUMIF(Mercado_Receita!$S$2:$S$298,"44501B2ConvencionalRuralServiço público de irrigação ruralNão se aplicaNão se aplicaFora ponta",Mercado_Receita!$L$2:$L$298)+SUMIF(Mercado_Receita!$S$2:$S$298,"44501B2ConvencionalRuralServiço público de irrigação ruralNão se aplicaNão se aplicaIntermediário",Mercado_Receita!$L$2:$L$298)+SUMIF(Mercado_Receita!$S$2:$S$298,"44501B2ConvencionalRuralServiço público de irrigação ruralNão se aplicaNão se aplicaNão se aplica",Mercado_Receita!$L$2:$L$298)</f>
        <v>0</v>
      </c>
      <c r="Q38" s="12">
        <f>SUMIF(Mercado_Receita!$S$2:$S$298,"44531B2ConvencionalRuralServiço público de irrigação ruralNão se aplicaNão se aplicaPonta",Mercado_Receita!$L$2:$L$298)+SUMIF(Mercado_Receita!$S$2:$S$298,"44531B2ConvencionalRuralServiço público de irrigação ruralNão se aplicaNão se aplicaFora ponta",Mercado_Receita!$L$2:$L$298)+SUMIF(Mercado_Receita!$S$2:$S$298,"44531B2ConvencionalRuralServiço público de irrigação ruralNão se aplicaNão se aplicaIntermediário",Mercado_Receita!$L$2:$L$298)+SUMIF(Mercado_Receita!$S$2:$S$298,"44531B2ConvencionalRuralServiço público de irrigação ruralNão se aplicaNão se aplicaNão se aplica",Mercado_Receita!$L$2:$L$298)</f>
        <v>0</v>
      </c>
      <c r="R38" s="12">
        <f>SUMIF(Mercado_Receita!$S$2:$S$298,"44562B2ConvencionalRuralServiço público de irrigação ruralNão se aplicaNão se aplicaPonta",Mercado_Receita!$L$2:$L$298)+SUMIF(Mercado_Receita!$S$2:$S$298,"44562B2ConvencionalRuralServiço público de irrigação ruralNão se aplicaNão se aplicaFora ponta",Mercado_Receita!$L$2:$L$298)+SUMIF(Mercado_Receita!$S$2:$S$298,"44562B2ConvencionalRuralServiço público de irrigação ruralNão se aplicaNão se aplicaIntermediário",Mercado_Receita!$L$2:$L$298)+SUMIF(Mercado_Receita!$S$2:$S$298,"44562B2ConvencionalRuralServiço público de irrigação ruralNão se aplicaNão se aplicaNão se aplica",Mercado_Receita!$L$2:$L$298)</f>
        <v>0</v>
      </c>
      <c r="S38" s="12">
        <f>SUMIF(Mercado_Receita!$S$2:$S$298,"44593B2ConvencionalRuralServiço público de irrigação ruralNão se aplicaNão se aplicaPonta",Mercado_Receita!$L$2:$L$298)+SUMIF(Mercado_Receita!$S$2:$S$298,"44593B2ConvencionalRuralServiço público de irrigação ruralNão se aplicaNão se aplicaFora ponta",Mercado_Receita!$L$2:$L$298)+SUMIF(Mercado_Receita!$S$2:$S$298,"44593B2ConvencionalRuralServiço público de irrigação ruralNão se aplicaNão se aplicaIntermediário",Mercado_Receita!$L$2:$L$298)+SUMIF(Mercado_Receita!$S$2:$S$298,"44593B2ConvencionalRuralServiço público de irrigação ruralNão se aplicaNão se aplicaNão se aplica",Mercado_Receita!$L$2:$L$298)</f>
        <v>0</v>
      </c>
      <c r="T38" s="12">
        <f>SUMIF(Mercado_Receita!$S$2:$S$298,"44621B2ConvencionalRuralServiço público de irrigação ruralNão se aplicaNão se aplicaPonta",Mercado_Receita!$L$2:$L$298)+SUMIF(Mercado_Receita!$S$2:$S$298,"44621B2ConvencionalRuralServiço público de irrigação ruralNão se aplicaNão se aplicaFora ponta",Mercado_Receita!$L$2:$L$298)+SUMIF(Mercado_Receita!$S$2:$S$298,"44621B2ConvencionalRuralServiço público de irrigação ruralNão se aplicaNão se aplicaIntermediário",Mercado_Receita!$L$2:$L$298)+SUMIF(Mercado_Receita!$S$2:$S$298,"44621B2ConvencionalRuralServiço público de irrigação ruralNão se aplicaNão se aplicaNão se aplica",Mercado_Receita!$L$2:$L$298)</f>
        <v>0</v>
      </c>
      <c r="U38" s="12">
        <f t="shared" si="0"/>
        <v>0</v>
      </c>
      <c r="V38" s="12"/>
      <c r="W38" s="12"/>
    </row>
    <row r="39" spans="1:23" ht="11.25" customHeight="1" x14ac:dyDescent="0.3">
      <c r="A39" s="107"/>
      <c r="B39" s="106" t="s">
        <v>84</v>
      </c>
      <c r="C39" s="106" t="s">
        <v>41</v>
      </c>
      <c r="D39" s="13" t="s">
        <v>25</v>
      </c>
      <c r="E39" s="13" t="s">
        <v>25</v>
      </c>
      <c r="F39" s="13" t="s">
        <v>25</v>
      </c>
      <c r="G39" s="12" t="s">
        <v>74</v>
      </c>
      <c r="H39" s="12" t="s">
        <v>67</v>
      </c>
      <c r="I39" s="12">
        <f>SUMIF(Mercado_Receita!$S$2:$S$298,"44287B2Convencional pré-pagamentoRuralNão se aplicaNão se aplicaNão se aplicaPonta",Mercado_Receita!$L$2:$L$298)+SUMIF(Mercado_Receita!$S$2:$S$298,"44287B2Convencional pré-pagamentoRuralNão se aplicaNão se aplicaNão se aplicaFora ponta",Mercado_Receita!$L$2:$L$298)+SUMIF(Mercado_Receita!$S$2:$S$298,"44287B2Convencional pré-pagamentoRuralNão se aplicaNão se aplicaNão se aplicaIntermediário",Mercado_Receita!$L$2:$L$298)+SUMIF(Mercado_Receita!$S$2:$S$298,"44287B2Convencional pré-pagamentoRuralNão se aplicaNão se aplicaNão se aplicaNão se aplica",Mercado_Receita!$L$2:$L$298)</f>
        <v>0</v>
      </c>
      <c r="J39" s="12">
        <f>SUMIF(Mercado_Receita!$S$2:$S$298,"44317B2Convencional pré-pagamentoRuralNão se aplicaNão se aplicaNão se aplicaPonta",Mercado_Receita!$L$2:$L$298)+SUMIF(Mercado_Receita!$S$2:$S$298,"44317B2Convencional pré-pagamentoRuralNão se aplicaNão se aplicaNão se aplicaFora ponta",Mercado_Receita!$L$2:$L$298)+SUMIF(Mercado_Receita!$S$2:$S$298,"44317B2Convencional pré-pagamentoRuralNão se aplicaNão se aplicaNão se aplicaIntermediário",Mercado_Receita!$L$2:$L$298)+SUMIF(Mercado_Receita!$S$2:$S$298,"44317B2Convencional pré-pagamentoRuralNão se aplicaNão se aplicaNão se aplicaNão se aplica",Mercado_Receita!$L$2:$L$298)</f>
        <v>0</v>
      </c>
      <c r="K39" s="12">
        <f>SUMIF(Mercado_Receita!$S$2:$S$298,"44348B2Convencional pré-pagamentoRuralNão se aplicaNão se aplicaNão se aplicaPonta",Mercado_Receita!$L$2:$L$298)+SUMIF(Mercado_Receita!$S$2:$S$298,"44348B2Convencional pré-pagamentoRuralNão se aplicaNão se aplicaNão se aplicaFora ponta",Mercado_Receita!$L$2:$L$298)+SUMIF(Mercado_Receita!$S$2:$S$298,"44348B2Convencional pré-pagamentoRuralNão se aplicaNão se aplicaNão se aplicaIntermediário",Mercado_Receita!$L$2:$L$298)+SUMIF(Mercado_Receita!$S$2:$S$298,"44348B2Convencional pré-pagamentoRuralNão se aplicaNão se aplicaNão se aplicaNão se aplica",Mercado_Receita!$L$2:$L$298)</f>
        <v>0</v>
      </c>
      <c r="L39" s="12">
        <f>SUMIF(Mercado_Receita!$S$2:$S$298,"44378B2Convencional pré-pagamentoRuralNão se aplicaNão se aplicaNão se aplicaPonta",Mercado_Receita!$L$2:$L$298)+SUMIF(Mercado_Receita!$S$2:$S$298,"44378B2Convencional pré-pagamentoRuralNão se aplicaNão se aplicaNão se aplicaFora ponta",Mercado_Receita!$L$2:$L$298)+SUMIF(Mercado_Receita!$S$2:$S$298,"44378B2Convencional pré-pagamentoRuralNão se aplicaNão se aplicaNão se aplicaIntermediário",Mercado_Receita!$L$2:$L$298)+SUMIF(Mercado_Receita!$S$2:$S$298,"44378B2Convencional pré-pagamentoRuralNão se aplicaNão se aplicaNão se aplicaNão se aplica",Mercado_Receita!$L$2:$L$298)</f>
        <v>0</v>
      </c>
      <c r="M39" s="12">
        <f>SUMIF(Mercado_Receita!$S$2:$S$298,"44409B2Convencional pré-pagamentoRuralNão se aplicaNão se aplicaNão se aplicaPonta",Mercado_Receita!$L$2:$L$298)+SUMIF(Mercado_Receita!$S$2:$S$298,"44409B2Convencional pré-pagamentoRuralNão se aplicaNão se aplicaNão se aplicaFora ponta",Mercado_Receita!$L$2:$L$298)+SUMIF(Mercado_Receita!$S$2:$S$298,"44409B2Convencional pré-pagamentoRuralNão se aplicaNão se aplicaNão se aplicaIntermediário",Mercado_Receita!$L$2:$L$298)+SUMIF(Mercado_Receita!$S$2:$S$298,"44409B2Convencional pré-pagamentoRuralNão se aplicaNão se aplicaNão se aplicaNão se aplica",Mercado_Receita!$L$2:$L$298)</f>
        <v>0</v>
      </c>
      <c r="N39" s="12">
        <f>SUMIF(Mercado_Receita!$S$2:$S$298,"44440B2Convencional pré-pagamentoRuralNão se aplicaNão se aplicaNão se aplicaPonta",Mercado_Receita!$L$2:$L$298)+SUMIF(Mercado_Receita!$S$2:$S$298,"44440B2Convencional pré-pagamentoRuralNão se aplicaNão se aplicaNão se aplicaFora ponta",Mercado_Receita!$L$2:$L$298)+SUMIF(Mercado_Receita!$S$2:$S$298,"44440B2Convencional pré-pagamentoRuralNão se aplicaNão se aplicaNão se aplicaIntermediário",Mercado_Receita!$L$2:$L$298)+SUMIF(Mercado_Receita!$S$2:$S$298,"44440B2Convencional pré-pagamentoRuralNão se aplicaNão se aplicaNão se aplicaNão se aplica",Mercado_Receita!$L$2:$L$298)</f>
        <v>0</v>
      </c>
      <c r="O39" s="12">
        <f>SUMIF(Mercado_Receita!$S$2:$S$298,"44470B2Convencional pré-pagamentoRuralNão se aplicaNão se aplicaNão se aplicaPonta",Mercado_Receita!$L$2:$L$298)+SUMIF(Mercado_Receita!$S$2:$S$298,"44470B2Convencional pré-pagamentoRuralNão se aplicaNão se aplicaNão se aplicaFora ponta",Mercado_Receita!$L$2:$L$298)+SUMIF(Mercado_Receita!$S$2:$S$298,"44470B2Convencional pré-pagamentoRuralNão se aplicaNão se aplicaNão se aplicaIntermediário",Mercado_Receita!$L$2:$L$298)+SUMIF(Mercado_Receita!$S$2:$S$298,"44470B2Convencional pré-pagamentoRuralNão se aplicaNão se aplicaNão se aplicaNão se aplica",Mercado_Receita!$L$2:$L$298)</f>
        <v>0</v>
      </c>
      <c r="P39" s="12">
        <f>SUMIF(Mercado_Receita!$S$2:$S$298,"44501B2Convencional pré-pagamentoRuralNão se aplicaNão se aplicaNão se aplicaPonta",Mercado_Receita!$L$2:$L$298)+SUMIF(Mercado_Receita!$S$2:$S$298,"44501B2Convencional pré-pagamentoRuralNão se aplicaNão se aplicaNão se aplicaFora ponta",Mercado_Receita!$L$2:$L$298)+SUMIF(Mercado_Receita!$S$2:$S$298,"44501B2Convencional pré-pagamentoRuralNão se aplicaNão se aplicaNão se aplicaIntermediário",Mercado_Receita!$L$2:$L$298)+SUMIF(Mercado_Receita!$S$2:$S$298,"44501B2Convencional pré-pagamentoRuralNão se aplicaNão se aplicaNão se aplicaNão se aplica",Mercado_Receita!$L$2:$L$298)</f>
        <v>0</v>
      </c>
      <c r="Q39" s="12">
        <f>SUMIF(Mercado_Receita!$S$2:$S$298,"44531B2Convencional pré-pagamentoRuralNão se aplicaNão se aplicaNão se aplicaPonta",Mercado_Receita!$L$2:$L$298)+SUMIF(Mercado_Receita!$S$2:$S$298,"44531B2Convencional pré-pagamentoRuralNão se aplicaNão se aplicaNão se aplicaFora ponta",Mercado_Receita!$L$2:$L$298)+SUMIF(Mercado_Receita!$S$2:$S$298,"44531B2Convencional pré-pagamentoRuralNão se aplicaNão se aplicaNão se aplicaIntermediário",Mercado_Receita!$L$2:$L$298)+SUMIF(Mercado_Receita!$S$2:$S$298,"44531B2Convencional pré-pagamentoRuralNão se aplicaNão se aplicaNão se aplicaNão se aplica",Mercado_Receita!$L$2:$L$298)</f>
        <v>0</v>
      </c>
      <c r="R39" s="12">
        <f>SUMIF(Mercado_Receita!$S$2:$S$298,"44562B2Convencional pré-pagamentoRuralNão se aplicaNão se aplicaNão se aplicaPonta",Mercado_Receita!$L$2:$L$298)+SUMIF(Mercado_Receita!$S$2:$S$298,"44562B2Convencional pré-pagamentoRuralNão se aplicaNão se aplicaNão se aplicaFora ponta",Mercado_Receita!$L$2:$L$298)+SUMIF(Mercado_Receita!$S$2:$S$298,"44562B2Convencional pré-pagamentoRuralNão se aplicaNão se aplicaNão se aplicaIntermediário",Mercado_Receita!$L$2:$L$298)+SUMIF(Mercado_Receita!$S$2:$S$298,"44562B2Convencional pré-pagamentoRuralNão se aplicaNão se aplicaNão se aplicaNão se aplica",Mercado_Receita!$L$2:$L$298)</f>
        <v>0</v>
      </c>
      <c r="S39" s="12">
        <f>SUMIF(Mercado_Receita!$S$2:$S$298,"44593B2Convencional pré-pagamentoRuralNão se aplicaNão se aplicaNão se aplicaPonta",Mercado_Receita!$L$2:$L$298)+SUMIF(Mercado_Receita!$S$2:$S$298,"44593B2Convencional pré-pagamentoRuralNão se aplicaNão se aplicaNão se aplicaFora ponta",Mercado_Receita!$L$2:$L$298)+SUMIF(Mercado_Receita!$S$2:$S$298,"44593B2Convencional pré-pagamentoRuralNão se aplicaNão se aplicaNão se aplicaIntermediário",Mercado_Receita!$L$2:$L$298)+SUMIF(Mercado_Receita!$S$2:$S$298,"44593B2Convencional pré-pagamentoRuralNão se aplicaNão se aplicaNão se aplicaNão se aplica",Mercado_Receita!$L$2:$L$298)</f>
        <v>0</v>
      </c>
      <c r="T39" s="12">
        <f>SUMIF(Mercado_Receita!$S$2:$S$298,"44621B2Convencional pré-pagamentoRuralNão se aplicaNão se aplicaNão se aplicaPonta",Mercado_Receita!$L$2:$L$298)+SUMIF(Mercado_Receita!$S$2:$S$298,"44621B2Convencional pré-pagamentoRuralNão se aplicaNão se aplicaNão se aplicaFora ponta",Mercado_Receita!$L$2:$L$298)+SUMIF(Mercado_Receita!$S$2:$S$298,"44621B2Convencional pré-pagamentoRuralNão se aplicaNão se aplicaNão se aplicaIntermediário",Mercado_Receita!$L$2:$L$298)+SUMIF(Mercado_Receita!$S$2:$S$298,"44621B2Convencional pré-pagamentoRuralNão se aplicaNão se aplicaNão se aplicaNão se aplica",Mercado_Receita!$L$2:$L$298)</f>
        <v>0</v>
      </c>
      <c r="U39" s="12">
        <f t="shared" si="0"/>
        <v>0</v>
      </c>
      <c r="V39" s="12"/>
      <c r="W39" s="12"/>
    </row>
    <row r="40" spans="1:23" ht="11.25" customHeight="1" x14ac:dyDescent="0.3">
      <c r="A40" s="107"/>
      <c r="B40" s="107"/>
      <c r="C40" s="107"/>
      <c r="D40" s="13" t="s">
        <v>85</v>
      </c>
      <c r="E40" s="13" t="s">
        <v>25</v>
      </c>
      <c r="F40" s="13" t="s">
        <v>25</v>
      </c>
      <c r="G40" s="12" t="s">
        <v>74</v>
      </c>
      <c r="H40" s="12" t="s">
        <v>67</v>
      </c>
      <c r="I40" s="12">
        <f>SUMIF(Mercado_Receita!$S$2:$S$298,"44287B2Convencional pré-pagamentoRuralCooperativa de eletrificação ruralNão se aplicaNão se aplicaPonta",Mercado_Receita!$L$2:$L$298)+SUMIF(Mercado_Receita!$S$2:$S$298,"44287B2Convencional pré-pagamentoRuralCooperativa de eletrificação ruralNão se aplicaNão se aplicaFora ponta",Mercado_Receita!$L$2:$L$298)+SUMIF(Mercado_Receita!$S$2:$S$298,"44287B2Convencional pré-pagamentoRuralCooperativa de eletrificação ruralNão se aplicaNão se aplicaIntermediário",Mercado_Receita!$L$2:$L$298)+SUMIF(Mercado_Receita!$S$2:$S$298,"44287B2Convencional pré-pagamentoRuralCooperativa de eletrificação ruralNão se aplicaNão se aplicaNão se aplica",Mercado_Receita!$L$2:$L$298)</f>
        <v>0</v>
      </c>
      <c r="J40" s="12">
        <f>SUMIF(Mercado_Receita!$S$2:$S$298,"44317B2Convencional pré-pagamentoRuralCooperativa de eletrificação ruralNão se aplicaNão se aplicaPonta",Mercado_Receita!$L$2:$L$298)+SUMIF(Mercado_Receita!$S$2:$S$298,"44317B2Convencional pré-pagamentoRuralCooperativa de eletrificação ruralNão se aplicaNão se aplicaFora ponta",Mercado_Receita!$L$2:$L$298)+SUMIF(Mercado_Receita!$S$2:$S$298,"44317B2Convencional pré-pagamentoRuralCooperativa de eletrificação ruralNão se aplicaNão se aplicaIntermediário",Mercado_Receita!$L$2:$L$298)+SUMIF(Mercado_Receita!$S$2:$S$298,"44317B2Convencional pré-pagamentoRuralCooperativa de eletrificação ruralNão se aplicaNão se aplicaNão se aplica",Mercado_Receita!$L$2:$L$298)</f>
        <v>0</v>
      </c>
      <c r="K40" s="12">
        <f>SUMIF(Mercado_Receita!$S$2:$S$298,"44348B2Convencional pré-pagamentoRuralCooperativa de eletrificação ruralNão se aplicaNão se aplicaPonta",Mercado_Receita!$L$2:$L$298)+SUMIF(Mercado_Receita!$S$2:$S$298,"44348B2Convencional pré-pagamentoRuralCooperativa de eletrificação ruralNão se aplicaNão se aplicaFora ponta",Mercado_Receita!$L$2:$L$298)+SUMIF(Mercado_Receita!$S$2:$S$298,"44348B2Convencional pré-pagamentoRuralCooperativa de eletrificação ruralNão se aplicaNão se aplicaIntermediário",Mercado_Receita!$L$2:$L$298)+SUMIF(Mercado_Receita!$S$2:$S$298,"44348B2Convencional pré-pagamentoRuralCooperativa de eletrificação ruralNão se aplicaNão se aplicaNão se aplica",Mercado_Receita!$L$2:$L$298)</f>
        <v>0</v>
      </c>
      <c r="L40" s="12">
        <f>SUMIF(Mercado_Receita!$S$2:$S$298,"44378B2Convencional pré-pagamentoRuralCooperativa de eletrificação ruralNão se aplicaNão se aplicaPonta",Mercado_Receita!$L$2:$L$298)+SUMIF(Mercado_Receita!$S$2:$S$298,"44378B2Convencional pré-pagamentoRuralCooperativa de eletrificação ruralNão se aplicaNão se aplicaFora ponta",Mercado_Receita!$L$2:$L$298)+SUMIF(Mercado_Receita!$S$2:$S$298,"44378B2Convencional pré-pagamentoRuralCooperativa de eletrificação ruralNão se aplicaNão se aplicaIntermediário",Mercado_Receita!$L$2:$L$298)+SUMIF(Mercado_Receita!$S$2:$S$298,"44378B2Convencional pré-pagamentoRuralCooperativa de eletrificação ruralNão se aplicaNão se aplicaNão se aplica",Mercado_Receita!$L$2:$L$298)</f>
        <v>0</v>
      </c>
      <c r="M40" s="12">
        <f>SUMIF(Mercado_Receita!$S$2:$S$298,"44409B2Convencional pré-pagamentoRuralCooperativa de eletrificação ruralNão se aplicaNão se aplicaPonta",Mercado_Receita!$L$2:$L$298)+SUMIF(Mercado_Receita!$S$2:$S$298,"44409B2Convencional pré-pagamentoRuralCooperativa de eletrificação ruralNão se aplicaNão se aplicaFora ponta",Mercado_Receita!$L$2:$L$298)+SUMIF(Mercado_Receita!$S$2:$S$298,"44409B2Convencional pré-pagamentoRuralCooperativa de eletrificação ruralNão se aplicaNão se aplicaIntermediário",Mercado_Receita!$L$2:$L$298)+SUMIF(Mercado_Receita!$S$2:$S$298,"44409B2Convencional pré-pagamentoRuralCooperativa de eletrificação ruralNão se aplicaNão se aplicaNão se aplica",Mercado_Receita!$L$2:$L$298)</f>
        <v>0</v>
      </c>
      <c r="N40" s="12">
        <f>SUMIF(Mercado_Receita!$S$2:$S$298,"44440B2Convencional pré-pagamentoRuralCooperativa de eletrificação ruralNão se aplicaNão se aplicaPonta",Mercado_Receita!$L$2:$L$298)+SUMIF(Mercado_Receita!$S$2:$S$298,"44440B2Convencional pré-pagamentoRuralCooperativa de eletrificação ruralNão se aplicaNão se aplicaFora ponta",Mercado_Receita!$L$2:$L$298)+SUMIF(Mercado_Receita!$S$2:$S$298,"44440B2Convencional pré-pagamentoRuralCooperativa de eletrificação ruralNão se aplicaNão se aplicaIntermediário",Mercado_Receita!$L$2:$L$298)+SUMIF(Mercado_Receita!$S$2:$S$298,"44440B2Convencional pré-pagamentoRuralCooperativa de eletrificação ruralNão se aplicaNão se aplicaNão se aplica",Mercado_Receita!$L$2:$L$298)</f>
        <v>0</v>
      </c>
      <c r="O40" s="12">
        <f>SUMIF(Mercado_Receita!$S$2:$S$298,"44470B2Convencional pré-pagamentoRuralCooperativa de eletrificação ruralNão se aplicaNão se aplicaPonta",Mercado_Receita!$L$2:$L$298)+SUMIF(Mercado_Receita!$S$2:$S$298,"44470B2Convencional pré-pagamentoRuralCooperativa de eletrificação ruralNão se aplicaNão se aplicaFora ponta",Mercado_Receita!$L$2:$L$298)+SUMIF(Mercado_Receita!$S$2:$S$298,"44470B2Convencional pré-pagamentoRuralCooperativa de eletrificação ruralNão se aplicaNão se aplicaIntermediário",Mercado_Receita!$L$2:$L$298)+SUMIF(Mercado_Receita!$S$2:$S$298,"44470B2Convencional pré-pagamentoRuralCooperativa de eletrificação ruralNão se aplicaNão se aplicaNão se aplica",Mercado_Receita!$L$2:$L$298)</f>
        <v>0</v>
      </c>
      <c r="P40" s="12">
        <f>SUMIF(Mercado_Receita!$S$2:$S$298,"44501B2Convencional pré-pagamentoRuralCooperativa de eletrificação ruralNão se aplicaNão se aplicaPonta",Mercado_Receita!$L$2:$L$298)+SUMIF(Mercado_Receita!$S$2:$S$298,"44501B2Convencional pré-pagamentoRuralCooperativa de eletrificação ruralNão se aplicaNão se aplicaFora ponta",Mercado_Receita!$L$2:$L$298)+SUMIF(Mercado_Receita!$S$2:$S$298,"44501B2Convencional pré-pagamentoRuralCooperativa de eletrificação ruralNão se aplicaNão se aplicaIntermediário",Mercado_Receita!$L$2:$L$298)+SUMIF(Mercado_Receita!$S$2:$S$298,"44501B2Convencional pré-pagamentoRuralCooperativa de eletrificação ruralNão se aplicaNão se aplicaNão se aplica",Mercado_Receita!$L$2:$L$298)</f>
        <v>0</v>
      </c>
      <c r="Q40" s="12">
        <f>SUMIF(Mercado_Receita!$S$2:$S$298,"44531B2Convencional pré-pagamentoRuralCooperativa de eletrificação ruralNão se aplicaNão se aplicaPonta",Mercado_Receita!$L$2:$L$298)+SUMIF(Mercado_Receita!$S$2:$S$298,"44531B2Convencional pré-pagamentoRuralCooperativa de eletrificação ruralNão se aplicaNão se aplicaFora ponta",Mercado_Receita!$L$2:$L$298)+SUMIF(Mercado_Receita!$S$2:$S$298,"44531B2Convencional pré-pagamentoRuralCooperativa de eletrificação ruralNão se aplicaNão se aplicaIntermediário",Mercado_Receita!$L$2:$L$298)+SUMIF(Mercado_Receita!$S$2:$S$298,"44531B2Convencional pré-pagamentoRuralCooperativa de eletrificação ruralNão se aplicaNão se aplicaNão se aplica",Mercado_Receita!$L$2:$L$298)</f>
        <v>0</v>
      </c>
      <c r="R40" s="12">
        <f>SUMIF(Mercado_Receita!$S$2:$S$298,"44562B2Convencional pré-pagamentoRuralCooperativa de eletrificação ruralNão se aplicaNão se aplicaPonta",Mercado_Receita!$L$2:$L$298)+SUMIF(Mercado_Receita!$S$2:$S$298,"44562B2Convencional pré-pagamentoRuralCooperativa de eletrificação ruralNão se aplicaNão se aplicaFora ponta",Mercado_Receita!$L$2:$L$298)+SUMIF(Mercado_Receita!$S$2:$S$298,"44562B2Convencional pré-pagamentoRuralCooperativa de eletrificação ruralNão se aplicaNão se aplicaIntermediário",Mercado_Receita!$L$2:$L$298)+SUMIF(Mercado_Receita!$S$2:$S$298,"44562B2Convencional pré-pagamentoRuralCooperativa de eletrificação ruralNão se aplicaNão se aplicaNão se aplica",Mercado_Receita!$L$2:$L$298)</f>
        <v>0</v>
      </c>
      <c r="S40" s="12">
        <f>SUMIF(Mercado_Receita!$S$2:$S$298,"44593B2Convencional pré-pagamentoRuralCooperativa de eletrificação ruralNão se aplicaNão se aplicaPonta",Mercado_Receita!$L$2:$L$298)+SUMIF(Mercado_Receita!$S$2:$S$298,"44593B2Convencional pré-pagamentoRuralCooperativa de eletrificação ruralNão se aplicaNão se aplicaFora ponta",Mercado_Receita!$L$2:$L$298)+SUMIF(Mercado_Receita!$S$2:$S$298,"44593B2Convencional pré-pagamentoRuralCooperativa de eletrificação ruralNão se aplicaNão se aplicaIntermediário",Mercado_Receita!$L$2:$L$298)+SUMIF(Mercado_Receita!$S$2:$S$298,"44593B2Convencional pré-pagamentoRuralCooperativa de eletrificação ruralNão se aplicaNão se aplicaNão se aplica",Mercado_Receita!$L$2:$L$298)</f>
        <v>0</v>
      </c>
      <c r="T40" s="12">
        <f>SUMIF(Mercado_Receita!$S$2:$S$298,"44621B2Convencional pré-pagamentoRuralCooperativa de eletrificação ruralNão se aplicaNão se aplicaPonta",Mercado_Receita!$L$2:$L$298)+SUMIF(Mercado_Receita!$S$2:$S$298,"44621B2Convencional pré-pagamentoRuralCooperativa de eletrificação ruralNão se aplicaNão se aplicaFora ponta",Mercado_Receita!$L$2:$L$298)+SUMIF(Mercado_Receita!$S$2:$S$298,"44621B2Convencional pré-pagamentoRuralCooperativa de eletrificação ruralNão se aplicaNão se aplicaIntermediário",Mercado_Receita!$L$2:$L$298)+SUMIF(Mercado_Receita!$S$2:$S$298,"44621B2Convencional pré-pagamentoRuralCooperativa de eletrificação ruralNão se aplicaNão se aplicaNão se aplica",Mercado_Receita!$L$2:$L$298)</f>
        <v>0</v>
      </c>
      <c r="U40" s="12">
        <f t="shared" si="0"/>
        <v>0</v>
      </c>
      <c r="V40" s="12"/>
      <c r="W40" s="12"/>
    </row>
    <row r="41" spans="1:23" ht="11.25" customHeight="1" x14ac:dyDescent="0.3">
      <c r="A41" s="107"/>
      <c r="B41" s="107"/>
      <c r="C41" s="107"/>
      <c r="D41" s="13" t="s">
        <v>86</v>
      </c>
      <c r="E41" s="13" t="s">
        <v>25</v>
      </c>
      <c r="F41" s="13" t="s">
        <v>25</v>
      </c>
      <c r="G41" s="12" t="s">
        <v>74</v>
      </c>
      <c r="H41" s="12" t="s">
        <v>67</v>
      </c>
      <c r="I41" s="12">
        <f>SUMIF(Mercado_Receita!$S$2:$S$298,"44287B2Convencional pré-pagamentoRuralServiço público de irrigação ruralNão se aplicaNão se aplicaPonta",Mercado_Receita!$L$2:$L$298)+SUMIF(Mercado_Receita!$S$2:$S$298,"44287B2Convencional pré-pagamentoRuralServiço público de irrigação ruralNão se aplicaNão se aplicaFora ponta",Mercado_Receita!$L$2:$L$298)+SUMIF(Mercado_Receita!$S$2:$S$298,"44287B2Convencional pré-pagamentoRuralServiço público de irrigação ruralNão se aplicaNão se aplicaIntermediário",Mercado_Receita!$L$2:$L$298)+SUMIF(Mercado_Receita!$S$2:$S$298,"44287B2Convencional pré-pagamentoRuralServiço público de irrigação ruralNão se aplicaNão se aplicaNão se aplica",Mercado_Receita!$L$2:$L$298)</f>
        <v>0</v>
      </c>
      <c r="J41" s="12">
        <f>SUMIF(Mercado_Receita!$S$2:$S$298,"44317B2Convencional pré-pagamentoRuralServiço público de irrigação ruralNão se aplicaNão se aplicaPonta",Mercado_Receita!$L$2:$L$298)+SUMIF(Mercado_Receita!$S$2:$S$298,"44317B2Convencional pré-pagamentoRuralServiço público de irrigação ruralNão se aplicaNão se aplicaFora ponta",Mercado_Receita!$L$2:$L$298)+SUMIF(Mercado_Receita!$S$2:$S$298,"44317B2Convencional pré-pagamentoRuralServiço público de irrigação ruralNão se aplicaNão se aplicaIntermediário",Mercado_Receita!$L$2:$L$298)+SUMIF(Mercado_Receita!$S$2:$S$298,"44317B2Convencional pré-pagamentoRuralServiço público de irrigação ruralNão se aplicaNão se aplicaNão se aplica",Mercado_Receita!$L$2:$L$298)</f>
        <v>0</v>
      </c>
      <c r="K41" s="12">
        <f>SUMIF(Mercado_Receita!$S$2:$S$298,"44348B2Convencional pré-pagamentoRuralServiço público de irrigação ruralNão se aplicaNão se aplicaPonta",Mercado_Receita!$L$2:$L$298)+SUMIF(Mercado_Receita!$S$2:$S$298,"44348B2Convencional pré-pagamentoRuralServiço público de irrigação ruralNão se aplicaNão se aplicaFora ponta",Mercado_Receita!$L$2:$L$298)+SUMIF(Mercado_Receita!$S$2:$S$298,"44348B2Convencional pré-pagamentoRuralServiço público de irrigação ruralNão se aplicaNão se aplicaIntermediário",Mercado_Receita!$L$2:$L$298)+SUMIF(Mercado_Receita!$S$2:$S$298,"44348B2Convencional pré-pagamentoRuralServiço público de irrigação ruralNão se aplicaNão se aplicaNão se aplica",Mercado_Receita!$L$2:$L$298)</f>
        <v>0</v>
      </c>
      <c r="L41" s="12">
        <f>SUMIF(Mercado_Receita!$S$2:$S$298,"44378B2Convencional pré-pagamentoRuralServiço público de irrigação ruralNão se aplicaNão se aplicaPonta",Mercado_Receita!$L$2:$L$298)+SUMIF(Mercado_Receita!$S$2:$S$298,"44378B2Convencional pré-pagamentoRuralServiço público de irrigação ruralNão se aplicaNão se aplicaFora ponta",Mercado_Receita!$L$2:$L$298)+SUMIF(Mercado_Receita!$S$2:$S$298,"44378B2Convencional pré-pagamentoRuralServiço público de irrigação ruralNão se aplicaNão se aplicaIntermediário",Mercado_Receita!$L$2:$L$298)+SUMIF(Mercado_Receita!$S$2:$S$298,"44378B2Convencional pré-pagamentoRuralServiço público de irrigação ruralNão se aplicaNão se aplicaNão se aplica",Mercado_Receita!$L$2:$L$298)</f>
        <v>0</v>
      </c>
      <c r="M41" s="12">
        <f>SUMIF(Mercado_Receita!$S$2:$S$298,"44409B2Convencional pré-pagamentoRuralServiço público de irrigação ruralNão se aplicaNão se aplicaPonta",Mercado_Receita!$L$2:$L$298)+SUMIF(Mercado_Receita!$S$2:$S$298,"44409B2Convencional pré-pagamentoRuralServiço público de irrigação ruralNão se aplicaNão se aplicaFora ponta",Mercado_Receita!$L$2:$L$298)+SUMIF(Mercado_Receita!$S$2:$S$298,"44409B2Convencional pré-pagamentoRuralServiço público de irrigação ruralNão se aplicaNão se aplicaIntermediário",Mercado_Receita!$L$2:$L$298)+SUMIF(Mercado_Receita!$S$2:$S$298,"44409B2Convencional pré-pagamentoRuralServiço público de irrigação ruralNão se aplicaNão se aplicaNão se aplica",Mercado_Receita!$L$2:$L$298)</f>
        <v>0</v>
      </c>
      <c r="N41" s="12">
        <f>SUMIF(Mercado_Receita!$S$2:$S$298,"44440B2Convencional pré-pagamentoRuralServiço público de irrigação ruralNão se aplicaNão se aplicaPonta",Mercado_Receita!$L$2:$L$298)+SUMIF(Mercado_Receita!$S$2:$S$298,"44440B2Convencional pré-pagamentoRuralServiço público de irrigação ruralNão se aplicaNão se aplicaFora ponta",Mercado_Receita!$L$2:$L$298)+SUMIF(Mercado_Receita!$S$2:$S$298,"44440B2Convencional pré-pagamentoRuralServiço público de irrigação ruralNão se aplicaNão se aplicaIntermediário",Mercado_Receita!$L$2:$L$298)+SUMIF(Mercado_Receita!$S$2:$S$298,"44440B2Convencional pré-pagamentoRuralServiço público de irrigação ruralNão se aplicaNão se aplicaNão se aplica",Mercado_Receita!$L$2:$L$298)</f>
        <v>0</v>
      </c>
      <c r="O41" s="12">
        <f>SUMIF(Mercado_Receita!$S$2:$S$298,"44470B2Convencional pré-pagamentoRuralServiço público de irrigação ruralNão se aplicaNão se aplicaPonta",Mercado_Receita!$L$2:$L$298)+SUMIF(Mercado_Receita!$S$2:$S$298,"44470B2Convencional pré-pagamentoRuralServiço público de irrigação ruralNão se aplicaNão se aplicaFora ponta",Mercado_Receita!$L$2:$L$298)+SUMIF(Mercado_Receita!$S$2:$S$298,"44470B2Convencional pré-pagamentoRuralServiço público de irrigação ruralNão se aplicaNão se aplicaIntermediário",Mercado_Receita!$L$2:$L$298)+SUMIF(Mercado_Receita!$S$2:$S$298,"44470B2Convencional pré-pagamentoRuralServiço público de irrigação ruralNão se aplicaNão se aplicaNão se aplica",Mercado_Receita!$L$2:$L$298)</f>
        <v>0</v>
      </c>
      <c r="P41" s="12">
        <f>SUMIF(Mercado_Receita!$S$2:$S$298,"44501B2Convencional pré-pagamentoRuralServiço público de irrigação ruralNão se aplicaNão se aplicaPonta",Mercado_Receita!$L$2:$L$298)+SUMIF(Mercado_Receita!$S$2:$S$298,"44501B2Convencional pré-pagamentoRuralServiço público de irrigação ruralNão se aplicaNão se aplicaFora ponta",Mercado_Receita!$L$2:$L$298)+SUMIF(Mercado_Receita!$S$2:$S$298,"44501B2Convencional pré-pagamentoRuralServiço público de irrigação ruralNão se aplicaNão se aplicaIntermediário",Mercado_Receita!$L$2:$L$298)+SUMIF(Mercado_Receita!$S$2:$S$298,"44501B2Convencional pré-pagamentoRuralServiço público de irrigação ruralNão se aplicaNão se aplicaNão se aplica",Mercado_Receita!$L$2:$L$298)</f>
        <v>0</v>
      </c>
      <c r="Q41" s="12">
        <f>SUMIF(Mercado_Receita!$S$2:$S$298,"44531B2Convencional pré-pagamentoRuralServiço público de irrigação ruralNão se aplicaNão se aplicaPonta",Mercado_Receita!$L$2:$L$298)+SUMIF(Mercado_Receita!$S$2:$S$298,"44531B2Convencional pré-pagamentoRuralServiço público de irrigação ruralNão se aplicaNão se aplicaFora ponta",Mercado_Receita!$L$2:$L$298)+SUMIF(Mercado_Receita!$S$2:$S$298,"44531B2Convencional pré-pagamentoRuralServiço público de irrigação ruralNão se aplicaNão se aplicaIntermediário",Mercado_Receita!$L$2:$L$298)+SUMIF(Mercado_Receita!$S$2:$S$298,"44531B2Convencional pré-pagamentoRuralServiço público de irrigação ruralNão se aplicaNão se aplicaNão se aplica",Mercado_Receita!$L$2:$L$298)</f>
        <v>0</v>
      </c>
      <c r="R41" s="12">
        <f>SUMIF(Mercado_Receita!$S$2:$S$298,"44562B2Convencional pré-pagamentoRuralServiço público de irrigação ruralNão se aplicaNão se aplicaPonta",Mercado_Receita!$L$2:$L$298)+SUMIF(Mercado_Receita!$S$2:$S$298,"44562B2Convencional pré-pagamentoRuralServiço público de irrigação ruralNão se aplicaNão se aplicaFora ponta",Mercado_Receita!$L$2:$L$298)+SUMIF(Mercado_Receita!$S$2:$S$298,"44562B2Convencional pré-pagamentoRuralServiço público de irrigação ruralNão se aplicaNão se aplicaIntermediário",Mercado_Receita!$L$2:$L$298)+SUMIF(Mercado_Receita!$S$2:$S$298,"44562B2Convencional pré-pagamentoRuralServiço público de irrigação ruralNão se aplicaNão se aplicaNão se aplica",Mercado_Receita!$L$2:$L$298)</f>
        <v>0</v>
      </c>
      <c r="S41" s="12">
        <f>SUMIF(Mercado_Receita!$S$2:$S$298,"44593B2Convencional pré-pagamentoRuralServiço público de irrigação ruralNão se aplicaNão se aplicaPonta",Mercado_Receita!$L$2:$L$298)+SUMIF(Mercado_Receita!$S$2:$S$298,"44593B2Convencional pré-pagamentoRuralServiço público de irrigação ruralNão se aplicaNão se aplicaFora ponta",Mercado_Receita!$L$2:$L$298)+SUMIF(Mercado_Receita!$S$2:$S$298,"44593B2Convencional pré-pagamentoRuralServiço público de irrigação ruralNão se aplicaNão se aplicaIntermediário",Mercado_Receita!$L$2:$L$298)+SUMIF(Mercado_Receita!$S$2:$S$298,"44593B2Convencional pré-pagamentoRuralServiço público de irrigação ruralNão se aplicaNão se aplicaNão se aplica",Mercado_Receita!$L$2:$L$298)</f>
        <v>0</v>
      </c>
      <c r="T41" s="12">
        <f>SUMIF(Mercado_Receita!$S$2:$S$298,"44621B2Convencional pré-pagamentoRuralServiço público de irrigação ruralNão se aplicaNão se aplicaPonta",Mercado_Receita!$L$2:$L$298)+SUMIF(Mercado_Receita!$S$2:$S$298,"44621B2Convencional pré-pagamentoRuralServiço público de irrigação ruralNão se aplicaNão se aplicaFora ponta",Mercado_Receita!$L$2:$L$298)+SUMIF(Mercado_Receita!$S$2:$S$298,"44621B2Convencional pré-pagamentoRuralServiço público de irrigação ruralNão se aplicaNão se aplicaIntermediário",Mercado_Receita!$L$2:$L$298)+SUMIF(Mercado_Receita!$S$2:$S$298,"44621B2Convencional pré-pagamentoRuralServiço público de irrigação ruralNão se aplicaNão se aplicaNão se aplica",Mercado_Receita!$L$2:$L$298)</f>
        <v>0</v>
      </c>
      <c r="U41" s="12">
        <f t="shared" si="0"/>
        <v>0</v>
      </c>
      <c r="V41" s="12"/>
      <c r="W41" s="12"/>
    </row>
    <row r="42" spans="1:23" ht="11.25" customHeight="1" x14ac:dyDescent="0.3">
      <c r="A42" s="106" t="s">
        <v>33</v>
      </c>
      <c r="B42" s="106" t="s">
        <v>82</v>
      </c>
      <c r="C42" s="106" t="s">
        <v>25</v>
      </c>
      <c r="D42" s="106" t="s">
        <v>25</v>
      </c>
      <c r="E42" s="106" t="s">
        <v>25</v>
      </c>
      <c r="F42" s="106" t="s">
        <v>25</v>
      </c>
      <c r="G42" s="12" t="s">
        <v>68</v>
      </c>
      <c r="H42" s="12" t="s">
        <v>67</v>
      </c>
      <c r="I42" s="12">
        <f>SUMIF(Mercado_Receita!$S$2:$S$298,"44287B3BrancaNão se aplicaNão se aplicaNão se aplicaNão se aplicaPonta",Mercado_Receita!$L$2:$L$298)</f>
        <v>0</v>
      </c>
      <c r="J42" s="12">
        <f>SUMIF(Mercado_Receita!$S$2:$S$298,"44317B3BrancaNão se aplicaNão se aplicaNão se aplicaNão se aplicaPonta",Mercado_Receita!$L$2:$L$298)</f>
        <v>0</v>
      </c>
      <c r="K42" s="12">
        <f>SUMIF(Mercado_Receita!$S$2:$S$298,"44348B3BrancaNão se aplicaNão se aplicaNão se aplicaNão se aplicaPonta",Mercado_Receita!$L$2:$L$298)</f>
        <v>0</v>
      </c>
      <c r="L42" s="12">
        <f>SUMIF(Mercado_Receita!$S$2:$S$298,"44378B3BrancaNão se aplicaNão se aplicaNão se aplicaNão se aplicaPonta",Mercado_Receita!$L$2:$L$298)</f>
        <v>0</v>
      </c>
      <c r="M42" s="12">
        <f>SUMIF(Mercado_Receita!$S$2:$S$298,"44409B3BrancaNão se aplicaNão se aplicaNão se aplicaNão se aplicaPonta",Mercado_Receita!$L$2:$L$298)</f>
        <v>0</v>
      </c>
      <c r="N42" s="12">
        <f>SUMIF(Mercado_Receita!$S$2:$S$298,"44440B3BrancaNão se aplicaNão se aplicaNão se aplicaNão se aplicaPonta",Mercado_Receita!$L$2:$L$298)</f>
        <v>0</v>
      </c>
      <c r="O42" s="12">
        <f>SUMIF(Mercado_Receita!$S$2:$S$298,"44470B3BrancaNão se aplicaNão se aplicaNão se aplicaNão se aplicaPonta",Mercado_Receita!$L$2:$L$298)</f>
        <v>0</v>
      </c>
      <c r="P42" s="12">
        <f>SUMIF(Mercado_Receita!$S$2:$S$298,"44501B3BrancaNão se aplicaNão se aplicaNão se aplicaNão se aplicaPonta",Mercado_Receita!$L$2:$L$298)</f>
        <v>0</v>
      </c>
      <c r="Q42" s="12">
        <f>SUMIF(Mercado_Receita!$S$2:$S$298,"44531B3BrancaNão se aplicaNão se aplicaNão se aplicaNão se aplicaPonta",Mercado_Receita!$L$2:$L$298)</f>
        <v>0</v>
      </c>
      <c r="R42" s="12">
        <f>SUMIF(Mercado_Receita!$S$2:$S$298,"44562B3BrancaNão se aplicaNão se aplicaNão se aplicaNão se aplicaPonta",Mercado_Receita!$L$2:$L$298)</f>
        <v>0</v>
      </c>
      <c r="S42" s="12">
        <f>SUMIF(Mercado_Receita!$S$2:$S$298,"44593B3BrancaNão se aplicaNão se aplicaNão se aplicaNão se aplicaPonta",Mercado_Receita!$L$2:$L$298)</f>
        <v>0</v>
      </c>
      <c r="T42" s="12">
        <f>SUMIF(Mercado_Receita!$S$2:$S$298,"44621B3BrancaNão se aplicaNão se aplicaNão se aplicaNão se aplicaPonta",Mercado_Receita!$L$2:$L$298)</f>
        <v>0</v>
      </c>
      <c r="U42" s="12">
        <f t="shared" si="0"/>
        <v>0</v>
      </c>
      <c r="V42" s="12"/>
      <c r="W42" s="12"/>
    </row>
    <row r="43" spans="1:23" ht="11.25" customHeight="1" x14ac:dyDescent="0.3">
      <c r="A43" s="107"/>
      <c r="B43" s="107"/>
      <c r="C43" s="107"/>
      <c r="D43" s="107"/>
      <c r="E43" s="107"/>
      <c r="F43" s="107"/>
      <c r="G43" s="12" t="s">
        <v>80</v>
      </c>
      <c r="H43" s="12" t="s">
        <v>67</v>
      </c>
      <c r="I43" s="12">
        <f>SUMIF(Mercado_Receita!$S$2:$S$298,"44287B3BrancaNão se aplicaNão se aplicaNão se aplicaNão se aplicaIntermediário",Mercado_Receita!$L$2:$L$298)</f>
        <v>0</v>
      </c>
      <c r="J43" s="12">
        <f>SUMIF(Mercado_Receita!$S$2:$S$298,"44317B3BrancaNão se aplicaNão se aplicaNão se aplicaNão se aplicaIntermediário",Mercado_Receita!$L$2:$L$298)</f>
        <v>0</v>
      </c>
      <c r="K43" s="12">
        <f>SUMIF(Mercado_Receita!$S$2:$S$298,"44348B3BrancaNão se aplicaNão se aplicaNão se aplicaNão se aplicaIntermediário",Mercado_Receita!$L$2:$L$298)</f>
        <v>0</v>
      </c>
      <c r="L43" s="12">
        <f>SUMIF(Mercado_Receita!$S$2:$S$298,"44378B3BrancaNão se aplicaNão se aplicaNão se aplicaNão se aplicaIntermediário",Mercado_Receita!$L$2:$L$298)</f>
        <v>0</v>
      </c>
      <c r="M43" s="12">
        <f>SUMIF(Mercado_Receita!$S$2:$S$298,"44409B3BrancaNão se aplicaNão se aplicaNão se aplicaNão se aplicaIntermediário",Mercado_Receita!$L$2:$L$298)</f>
        <v>0</v>
      </c>
      <c r="N43" s="12">
        <f>SUMIF(Mercado_Receita!$S$2:$S$298,"44440B3BrancaNão se aplicaNão se aplicaNão se aplicaNão se aplicaIntermediário",Mercado_Receita!$L$2:$L$298)</f>
        <v>0</v>
      </c>
      <c r="O43" s="12">
        <f>SUMIF(Mercado_Receita!$S$2:$S$298,"44470B3BrancaNão se aplicaNão se aplicaNão se aplicaNão se aplicaIntermediário",Mercado_Receita!$L$2:$L$298)</f>
        <v>0</v>
      </c>
      <c r="P43" s="12">
        <f>SUMIF(Mercado_Receita!$S$2:$S$298,"44501B3BrancaNão se aplicaNão se aplicaNão se aplicaNão se aplicaIntermediário",Mercado_Receita!$L$2:$L$298)</f>
        <v>0</v>
      </c>
      <c r="Q43" s="12">
        <f>SUMIF(Mercado_Receita!$S$2:$S$298,"44531B3BrancaNão se aplicaNão se aplicaNão se aplicaNão se aplicaIntermediário",Mercado_Receita!$L$2:$L$298)</f>
        <v>0</v>
      </c>
      <c r="R43" s="12">
        <f>SUMIF(Mercado_Receita!$S$2:$S$298,"44562B3BrancaNão se aplicaNão se aplicaNão se aplicaNão se aplicaIntermediário",Mercado_Receita!$L$2:$L$298)</f>
        <v>0</v>
      </c>
      <c r="S43" s="12">
        <f>SUMIF(Mercado_Receita!$S$2:$S$298,"44593B3BrancaNão se aplicaNão se aplicaNão se aplicaNão se aplicaIntermediário",Mercado_Receita!$L$2:$L$298)</f>
        <v>0</v>
      </c>
      <c r="T43" s="12">
        <f>SUMIF(Mercado_Receita!$S$2:$S$298,"44621B3BrancaNão se aplicaNão se aplicaNão se aplicaNão se aplicaIntermediário",Mercado_Receita!$L$2:$L$298)</f>
        <v>0</v>
      </c>
      <c r="U43" s="12">
        <f t="shared" si="0"/>
        <v>0</v>
      </c>
      <c r="V43" s="12"/>
      <c r="W43" s="12"/>
    </row>
    <row r="44" spans="1:23" ht="11.25" customHeight="1" x14ac:dyDescent="0.3">
      <c r="A44" s="107"/>
      <c r="B44" s="107"/>
      <c r="C44" s="107"/>
      <c r="D44" s="107"/>
      <c r="E44" s="107"/>
      <c r="F44" s="107"/>
      <c r="G44" s="12" t="s">
        <v>69</v>
      </c>
      <c r="H44" s="12" t="s">
        <v>67</v>
      </c>
      <c r="I44" s="12">
        <f>SUMIF(Mercado_Receita!$S$2:$S$298,"44287B3BrancaNão se aplicaNão se aplicaNão se aplicaNão se aplicaFora ponta",Mercado_Receita!$L$2:$L$298)</f>
        <v>0</v>
      </c>
      <c r="J44" s="12">
        <f>SUMIF(Mercado_Receita!$S$2:$S$298,"44317B3BrancaNão se aplicaNão se aplicaNão se aplicaNão se aplicaFora ponta",Mercado_Receita!$L$2:$L$298)</f>
        <v>0</v>
      </c>
      <c r="K44" s="12">
        <f>SUMIF(Mercado_Receita!$S$2:$S$298,"44348B3BrancaNão se aplicaNão se aplicaNão se aplicaNão se aplicaFora ponta",Mercado_Receita!$L$2:$L$298)</f>
        <v>0</v>
      </c>
      <c r="L44" s="12">
        <f>SUMIF(Mercado_Receita!$S$2:$S$298,"44378B3BrancaNão se aplicaNão se aplicaNão se aplicaNão se aplicaFora ponta",Mercado_Receita!$L$2:$L$298)</f>
        <v>0</v>
      </c>
      <c r="M44" s="12">
        <f>SUMIF(Mercado_Receita!$S$2:$S$298,"44409B3BrancaNão se aplicaNão se aplicaNão se aplicaNão se aplicaFora ponta",Mercado_Receita!$L$2:$L$298)</f>
        <v>0</v>
      </c>
      <c r="N44" s="12">
        <f>SUMIF(Mercado_Receita!$S$2:$S$298,"44440B3BrancaNão se aplicaNão se aplicaNão se aplicaNão se aplicaFora ponta",Mercado_Receita!$L$2:$L$298)</f>
        <v>0</v>
      </c>
      <c r="O44" s="12">
        <f>SUMIF(Mercado_Receita!$S$2:$S$298,"44470B3BrancaNão se aplicaNão se aplicaNão se aplicaNão se aplicaFora ponta",Mercado_Receita!$L$2:$L$298)</f>
        <v>0</v>
      </c>
      <c r="P44" s="12">
        <f>SUMIF(Mercado_Receita!$S$2:$S$298,"44501B3BrancaNão se aplicaNão se aplicaNão se aplicaNão se aplicaFora ponta",Mercado_Receita!$L$2:$L$298)</f>
        <v>0</v>
      </c>
      <c r="Q44" s="12">
        <f>SUMIF(Mercado_Receita!$S$2:$S$298,"44531B3BrancaNão se aplicaNão se aplicaNão se aplicaNão se aplicaFora ponta",Mercado_Receita!$L$2:$L$298)</f>
        <v>0</v>
      </c>
      <c r="R44" s="12">
        <f>SUMIF(Mercado_Receita!$S$2:$S$298,"44562B3BrancaNão se aplicaNão se aplicaNão se aplicaNão se aplicaFora ponta",Mercado_Receita!$L$2:$L$298)</f>
        <v>0</v>
      </c>
      <c r="S44" s="12">
        <f>SUMIF(Mercado_Receita!$S$2:$S$298,"44593B3BrancaNão se aplicaNão se aplicaNão se aplicaNão se aplicaFora ponta",Mercado_Receita!$L$2:$L$298)</f>
        <v>0</v>
      </c>
      <c r="T44" s="12">
        <f>SUMIF(Mercado_Receita!$S$2:$S$298,"44621B3BrancaNão se aplicaNão se aplicaNão se aplicaNão se aplicaFora ponta",Mercado_Receita!$L$2:$L$298)</f>
        <v>0</v>
      </c>
      <c r="U44" s="12">
        <f t="shared" si="0"/>
        <v>0</v>
      </c>
      <c r="V44" s="12"/>
      <c r="W44" s="12"/>
    </row>
    <row r="45" spans="1:23" ht="11.25" customHeight="1" x14ac:dyDescent="0.3">
      <c r="A45" s="107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74</v>
      </c>
      <c r="H45" s="12" t="s">
        <v>67</v>
      </c>
      <c r="I45" s="12">
        <f>SUMIF(Mercado_Receita!$S$2:$S$298,"44287B3ConvencionalNão se aplicaNão se aplicaNão se aplicaNão se aplicaPonta",Mercado_Receita!$L$2:$L$298)+SUMIF(Mercado_Receita!$S$2:$S$298,"44287B3ConvencionalNão se aplicaNão se aplicaNão se aplicaNão se aplicaFora ponta",Mercado_Receita!$L$2:$L$298)+SUMIF(Mercado_Receita!$S$2:$S$298,"44287B3ConvencionalNão se aplicaNão se aplicaNão se aplicaNão se aplicaIntermediário",Mercado_Receita!$L$2:$L$298)+SUMIF(Mercado_Receita!$S$2:$S$298,"44287B3ConvencionalNão se aplicaNão se aplicaNão se aplicaNão se aplicaNão se aplica",Mercado_Receita!$L$2:$L$298)</f>
        <v>492.34399999999999</v>
      </c>
      <c r="J45" s="12">
        <f>SUMIF(Mercado_Receita!$S$2:$S$298,"44317B3ConvencionalNão se aplicaNão se aplicaNão se aplicaNão se aplicaPonta",Mercado_Receita!$L$2:$L$298)+SUMIF(Mercado_Receita!$S$2:$S$298,"44317B3ConvencionalNão se aplicaNão se aplicaNão se aplicaNão se aplicaFora ponta",Mercado_Receita!$L$2:$L$298)+SUMIF(Mercado_Receita!$S$2:$S$298,"44317B3ConvencionalNão se aplicaNão se aplicaNão se aplicaNão se aplicaIntermediário",Mercado_Receita!$L$2:$L$298)+SUMIF(Mercado_Receita!$S$2:$S$298,"44317B3ConvencionalNão se aplicaNão se aplicaNão se aplicaNão se aplicaNão se aplica",Mercado_Receita!$L$2:$L$298)</f>
        <v>459.23400000000004</v>
      </c>
      <c r="K45" s="12">
        <f>SUMIF(Mercado_Receita!$S$2:$S$298,"44348B3ConvencionalNão se aplicaNão se aplicaNão se aplicaNão se aplicaPonta",Mercado_Receita!$L$2:$L$298)+SUMIF(Mercado_Receita!$S$2:$S$298,"44348B3ConvencionalNão se aplicaNão se aplicaNão se aplicaNão se aplicaFora ponta",Mercado_Receita!$L$2:$L$298)+SUMIF(Mercado_Receita!$S$2:$S$298,"44348B3ConvencionalNão se aplicaNão se aplicaNão se aplicaNão se aplicaIntermediário",Mercado_Receita!$L$2:$L$298)+SUMIF(Mercado_Receita!$S$2:$S$298,"44348B3ConvencionalNão se aplicaNão se aplicaNão se aplicaNão se aplicaNão se aplica",Mercado_Receita!$L$2:$L$298)</f>
        <v>479.62900000000002</v>
      </c>
      <c r="L45" s="12">
        <f>SUMIF(Mercado_Receita!$S$2:$S$298,"44378B3ConvencionalNão se aplicaNão se aplicaNão se aplicaNão se aplicaPonta",Mercado_Receita!$L$2:$L$298)+SUMIF(Mercado_Receita!$S$2:$S$298,"44378B3ConvencionalNão se aplicaNão se aplicaNão se aplicaNão se aplicaFora ponta",Mercado_Receita!$L$2:$L$298)+SUMIF(Mercado_Receita!$S$2:$S$298,"44378B3ConvencionalNão se aplicaNão se aplicaNão se aplicaNão se aplicaIntermediário",Mercado_Receita!$L$2:$L$298)+SUMIF(Mercado_Receita!$S$2:$S$298,"44378B3ConvencionalNão se aplicaNão se aplicaNão se aplicaNão se aplicaNão se aplica",Mercado_Receita!$L$2:$L$298)</f>
        <v>445.56900000000002</v>
      </c>
      <c r="M45" s="12">
        <f>SUMIF(Mercado_Receita!$S$2:$S$298,"44409B3ConvencionalNão se aplicaNão se aplicaNão se aplicaNão se aplicaPonta",Mercado_Receita!$L$2:$L$298)+SUMIF(Mercado_Receita!$S$2:$S$298,"44409B3ConvencionalNão se aplicaNão se aplicaNão se aplicaNão se aplicaFora ponta",Mercado_Receita!$L$2:$L$298)+SUMIF(Mercado_Receita!$S$2:$S$298,"44409B3ConvencionalNão se aplicaNão se aplicaNão se aplicaNão se aplicaIntermediário",Mercado_Receita!$L$2:$L$298)+SUMIF(Mercado_Receita!$S$2:$S$298,"44409B3ConvencionalNão se aplicaNão se aplicaNão se aplicaNão se aplicaNão se aplica",Mercado_Receita!$L$2:$L$298)</f>
        <v>491.42200000000003</v>
      </c>
      <c r="N45" s="12">
        <f>SUMIF(Mercado_Receita!$S$2:$S$298,"44440B3ConvencionalNão se aplicaNão se aplicaNão se aplicaNão se aplicaPonta",Mercado_Receita!$L$2:$L$298)+SUMIF(Mercado_Receita!$S$2:$S$298,"44440B3ConvencionalNão se aplicaNão se aplicaNão se aplicaNão se aplicaFora ponta",Mercado_Receita!$L$2:$L$298)+SUMIF(Mercado_Receita!$S$2:$S$298,"44440B3ConvencionalNão se aplicaNão se aplicaNão se aplicaNão se aplicaIntermediário",Mercado_Receita!$L$2:$L$298)+SUMIF(Mercado_Receita!$S$2:$S$298,"44440B3ConvencionalNão se aplicaNão se aplicaNão se aplicaNão se aplicaNão se aplica",Mercado_Receita!$L$2:$L$298)</f>
        <v>536.55999999999995</v>
      </c>
      <c r="O45" s="12">
        <f>SUMIF(Mercado_Receita!$S$2:$S$298,"44470B3ConvencionalNão se aplicaNão se aplicaNão se aplicaNão se aplicaPonta",Mercado_Receita!$L$2:$L$298)+SUMIF(Mercado_Receita!$S$2:$S$298,"44470B3ConvencionalNão se aplicaNão se aplicaNão se aplicaNão se aplicaFora ponta",Mercado_Receita!$L$2:$L$298)+SUMIF(Mercado_Receita!$S$2:$S$298,"44470B3ConvencionalNão se aplicaNão se aplicaNão se aplicaNão se aplicaIntermediário",Mercado_Receita!$L$2:$L$298)+SUMIF(Mercado_Receita!$S$2:$S$298,"44470B3ConvencionalNão se aplicaNão se aplicaNão se aplicaNão se aplicaNão se aplica",Mercado_Receita!$L$2:$L$298)</f>
        <v>542.54499999999996</v>
      </c>
      <c r="P45" s="12">
        <f>SUMIF(Mercado_Receita!$S$2:$S$298,"44501B3ConvencionalNão se aplicaNão se aplicaNão se aplicaNão se aplicaPonta",Mercado_Receita!$L$2:$L$298)+SUMIF(Mercado_Receita!$S$2:$S$298,"44501B3ConvencionalNão se aplicaNão se aplicaNão se aplicaNão se aplicaFora ponta",Mercado_Receita!$L$2:$L$298)+SUMIF(Mercado_Receita!$S$2:$S$298,"44501B3ConvencionalNão se aplicaNão se aplicaNão se aplicaNão se aplicaIntermediário",Mercado_Receita!$L$2:$L$298)+SUMIF(Mercado_Receita!$S$2:$S$298,"44501B3ConvencionalNão se aplicaNão se aplicaNão se aplicaNão se aplicaNão se aplica",Mercado_Receita!$L$2:$L$298)</f>
        <v>584.60199999999998</v>
      </c>
      <c r="Q45" s="12">
        <f>SUMIF(Mercado_Receita!$S$2:$S$298,"44531B3ConvencionalNão se aplicaNão se aplicaNão se aplicaNão se aplicaPonta",Mercado_Receita!$L$2:$L$298)+SUMIF(Mercado_Receita!$S$2:$S$298,"44531B3ConvencionalNão se aplicaNão se aplicaNão se aplicaNão se aplicaFora ponta",Mercado_Receita!$L$2:$L$298)+SUMIF(Mercado_Receita!$S$2:$S$298,"44531B3ConvencionalNão se aplicaNão se aplicaNão se aplicaNão se aplicaIntermediário",Mercado_Receita!$L$2:$L$298)+SUMIF(Mercado_Receita!$S$2:$S$298,"44531B3ConvencionalNão se aplicaNão se aplicaNão se aplicaNão se aplicaNão se aplica",Mercado_Receita!$L$2:$L$298)</f>
        <v>632.76300000000003</v>
      </c>
      <c r="R45" s="12">
        <f>SUMIF(Mercado_Receita!$S$2:$S$298,"44562B3ConvencionalNão se aplicaNão se aplicaNão se aplicaNão se aplicaPonta",Mercado_Receita!$L$2:$L$298)+SUMIF(Mercado_Receita!$S$2:$S$298,"44562B3ConvencionalNão se aplicaNão se aplicaNão se aplicaNão se aplicaFora ponta",Mercado_Receita!$L$2:$L$298)+SUMIF(Mercado_Receita!$S$2:$S$298,"44562B3ConvencionalNão se aplicaNão se aplicaNão se aplicaNão se aplicaIntermediário",Mercado_Receita!$L$2:$L$298)+SUMIF(Mercado_Receita!$S$2:$S$298,"44562B3ConvencionalNão se aplicaNão se aplicaNão se aplicaNão se aplicaNão se aplica",Mercado_Receita!$L$2:$L$298)</f>
        <v>639.94600000000003</v>
      </c>
      <c r="S45" s="12">
        <f>SUMIF(Mercado_Receita!$S$2:$S$298,"44593B3ConvencionalNão se aplicaNão se aplicaNão se aplicaNão se aplicaPonta",Mercado_Receita!$L$2:$L$298)+SUMIF(Mercado_Receita!$S$2:$S$298,"44593B3ConvencionalNão se aplicaNão se aplicaNão se aplicaNão se aplicaFora ponta",Mercado_Receita!$L$2:$L$298)+SUMIF(Mercado_Receita!$S$2:$S$298,"44593B3ConvencionalNão se aplicaNão se aplicaNão se aplicaNão se aplicaIntermediário",Mercado_Receita!$L$2:$L$298)+SUMIF(Mercado_Receita!$S$2:$S$298,"44593B3ConvencionalNão se aplicaNão se aplicaNão se aplicaNão se aplicaNão se aplica",Mercado_Receita!$L$2:$L$298)</f>
        <v>592.96400000000006</v>
      </c>
      <c r="T45" s="12">
        <f>SUMIF(Mercado_Receita!$S$2:$S$298,"44621B3ConvencionalNão se aplicaNão se aplicaNão se aplicaNão se aplicaPonta",Mercado_Receita!$L$2:$L$298)+SUMIF(Mercado_Receita!$S$2:$S$298,"44621B3ConvencionalNão se aplicaNão se aplicaNão se aplicaNão se aplicaFora ponta",Mercado_Receita!$L$2:$L$298)+SUMIF(Mercado_Receita!$S$2:$S$298,"44621B3ConvencionalNão se aplicaNão se aplicaNão se aplicaNão se aplicaIntermediário",Mercado_Receita!$L$2:$L$298)+SUMIF(Mercado_Receita!$S$2:$S$298,"44621B3ConvencionalNão se aplicaNão se aplicaNão se aplicaNão se aplicaNão se aplica",Mercado_Receita!$L$2:$L$298)</f>
        <v>620.88599999999997</v>
      </c>
      <c r="U45" s="12">
        <f t="shared" si="0"/>
        <v>6518.4639999999999</v>
      </c>
      <c r="V45" s="12"/>
      <c r="W45" s="12"/>
    </row>
    <row r="46" spans="1:23" ht="11.25" customHeight="1" x14ac:dyDescent="0.3">
      <c r="A46" s="107"/>
      <c r="B46" s="13" t="s">
        <v>84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74</v>
      </c>
      <c r="H46" s="12" t="s">
        <v>67</v>
      </c>
      <c r="I46" s="12">
        <f>SUMIF(Mercado_Receita!$S$2:$S$298,"44287B3Convencional pré-pagamentoNão se aplicaNão se aplicaNão se aplicaNão se aplicaPonta",Mercado_Receita!$L$2:$L$298)+SUMIF(Mercado_Receita!$S$2:$S$298,"44287B3Convencional pré-pagamentoNão se aplicaNão se aplicaNão se aplicaNão se aplicaFora ponta",Mercado_Receita!$L$2:$L$298)+SUMIF(Mercado_Receita!$S$2:$S$298,"44287B3Convencional pré-pagamentoNão se aplicaNão se aplicaNão se aplicaNão se aplicaIntermediário",Mercado_Receita!$L$2:$L$298)+SUMIF(Mercado_Receita!$S$2:$S$298,"44287B3Convencional pré-pagamentoNão se aplicaNão se aplicaNão se aplicaNão se aplicaNão se aplica",Mercado_Receita!$L$2:$L$298)</f>
        <v>0</v>
      </c>
      <c r="J46" s="12">
        <f>SUMIF(Mercado_Receita!$S$2:$S$298,"44317B3Convencional pré-pagamentoNão se aplicaNão se aplicaNão se aplicaNão se aplicaPonta",Mercado_Receita!$L$2:$L$298)+SUMIF(Mercado_Receita!$S$2:$S$298,"44317B3Convencional pré-pagamentoNão se aplicaNão se aplicaNão se aplicaNão se aplicaFora ponta",Mercado_Receita!$L$2:$L$298)+SUMIF(Mercado_Receita!$S$2:$S$298,"44317B3Convencional pré-pagamentoNão se aplicaNão se aplicaNão se aplicaNão se aplicaIntermediário",Mercado_Receita!$L$2:$L$298)+SUMIF(Mercado_Receita!$S$2:$S$298,"44317B3Convencional pré-pagamentoNão se aplicaNão se aplicaNão se aplicaNão se aplicaNão se aplica",Mercado_Receita!$L$2:$L$298)</f>
        <v>0</v>
      </c>
      <c r="K46" s="12">
        <f>SUMIF(Mercado_Receita!$S$2:$S$298,"44348B3Convencional pré-pagamentoNão se aplicaNão se aplicaNão se aplicaNão se aplicaPonta",Mercado_Receita!$L$2:$L$298)+SUMIF(Mercado_Receita!$S$2:$S$298,"44348B3Convencional pré-pagamentoNão se aplicaNão se aplicaNão se aplicaNão se aplicaFora ponta",Mercado_Receita!$L$2:$L$298)+SUMIF(Mercado_Receita!$S$2:$S$298,"44348B3Convencional pré-pagamentoNão se aplicaNão se aplicaNão se aplicaNão se aplicaIntermediário",Mercado_Receita!$L$2:$L$298)+SUMIF(Mercado_Receita!$S$2:$S$298,"44348B3Convencional pré-pagamentoNão se aplicaNão se aplicaNão se aplicaNão se aplicaNão se aplica",Mercado_Receita!$L$2:$L$298)</f>
        <v>0</v>
      </c>
      <c r="L46" s="12">
        <f>SUMIF(Mercado_Receita!$S$2:$S$298,"44378B3Convencional pré-pagamentoNão se aplicaNão se aplicaNão se aplicaNão se aplicaPonta",Mercado_Receita!$L$2:$L$298)+SUMIF(Mercado_Receita!$S$2:$S$298,"44378B3Convencional pré-pagamentoNão se aplicaNão se aplicaNão se aplicaNão se aplicaFora ponta",Mercado_Receita!$L$2:$L$298)+SUMIF(Mercado_Receita!$S$2:$S$298,"44378B3Convencional pré-pagamentoNão se aplicaNão se aplicaNão se aplicaNão se aplicaIntermediário",Mercado_Receita!$L$2:$L$298)+SUMIF(Mercado_Receita!$S$2:$S$298,"44378B3Convencional pré-pagamentoNão se aplicaNão se aplicaNão se aplicaNão se aplicaNão se aplica",Mercado_Receita!$L$2:$L$298)</f>
        <v>0</v>
      </c>
      <c r="M46" s="12">
        <f>SUMIF(Mercado_Receita!$S$2:$S$298,"44409B3Convencional pré-pagamentoNão se aplicaNão se aplicaNão se aplicaNão se aplicaPonta",Mercado_Receita!$L$2:$L$298)+SUMIF(Mercado_Receita!$S$2:$S$298,"44409B3Convencional pré-pagamentoNão se aplicaNão se aplicaNão se aplicaNão se aplicaFora ponta",Mercado_Receita!$L$2:$L$298)+SUMIF(Mercado_Receita!$S$2:$S$298,"44409B3Convencional pré-pagamentoNão se aplicaNão se aplicaNão se aplicaNão se aplicaIntermediário",Mercado_Receita!$L$2:$L$298)+SUMIF(Mercado_Receita!$S$2:$S$298,"44409B3Convencional pré-pagamentoNão se aplicaNão se aplicaNão se aplicaNão se aplicaNão se aplica",Mercado_Receita!$L$2:$L$298)</f>
        <v>0</v>
      </c>
      <c r="N46" s="12">
        <f>SUMIF(Mercado_Receita!$S$2:$S$298,"44440B3Convencional pré-pagamentoNão se aplicaNão se aplicaNão se aplicaNão se aplicaPonta",Mercado_Receita!$L$2:$L$298)+SUMIF(Mercado_Receita!$S$2:$S$298,"44440B3Convencional pré-pagamentoNão se aplicaNão se aplicaNão se aplicaNão se aplicaFora ponta",Mercado_Receita!$L$2:$L$298)+SUMIF(Mercado_Receita!$S$2:$S$298,"44440B3Convencional pré-pagamentoNão se aplicaNão se aplicaNão se aplicaNão se aplicaIntermediário",Mercado_Receita!$L$2:$L$298)+SUMIF(Mercado_Receita!$S$2:$S$298,"44440B3Convencional pré-pagamentoNão se aplicaNão se aplicaNão se aplicaNão se aplicaNão se aplica",Mercado_Receita!$L$2:$L$298)</f>
        <v>0</v>
      </c>
      <c r="O46" s="12">
        <f>SUMIF(Mercado_Receita!$S$2:$S$298,"44470B3Convencional pré-pagamentoNão se aplicaNão se aplicaNão se aplicaNão se aplicaPonta",Mercado_Receita!$L$2:$L$298)+SUMIF(Mercado_Receita!$S$2:$S$298,"44470B3Convencional pré-pagamentoNão se aplicaNão se aplicaNão se aplicaNão se aplicaFora ponta",Mercado_Receita!$L$2:$L$298)+SUMIF(Mercado_Receita!$S$2:$S$298,"44470B3Convencional pré-pagamentoNão se aplicaNão se aplicaNão se aplicaNão se aplicaIntermediário",Mercado_Receita!$L$2:$L$298)+SUMIF(Mercado_Receita!$S$2:$S$298,"44470B3Convencional pré-pagamentoNão se aplicaNão se aplicaNão se aplicaNão se aplicaNão se aplica",Mercado_Receita!$L$2:$L$298)</f>
        <v>0</v>
      </c>
      <c r="P46" s="12">
        <f>SUMIF(Mercado_Receita!$S$2:$S$298,"44501B3Convencional pré-pagamentoNão se aplicaNão se aplicaNão se aplicaNão se aplicaPonta",Mercado_Receita!$L$2:$L$298)+SUMIF(Mercado_Receita!$S$2:$S$298,"44501B3Convencional pré-pagamentoNão se aplicaNão se aplicaNão se aplicaNão se aplicaFora ponta",Mercado_Receita!$L$2:$L$298)+SUMIF(Mercado_Receita!$S$2:$S$298,"44501B3Convencional pré-pagamentoNão se aplicaNão se aplicaNão se aplicaNão se aplicaIntermediário",Mercado_Receita!$L$2:$L$298)+SUMIF(Mercado_Receita!$S$2:$S$298,"44501B3Convencional pré-pagamentoNão se aplicaNão se aplicaNão se aplicaNão se aplicaNão se aplica",Mercado_Receita!$L$2:$L$298)</f>
        <v>0</v>
      </c>
      <c r="Q46" s="12">
        <f>SUMIF(Mercado_Receita!$S$2:$S$298,"44531B3Convencional pré-pagamentoNão se aplicaNão se aplicaNão se aplicaNão se aplicaPonta",Mercado_Receita!$L$2:$L$298)+SUMIF(Mercado_Receita!$S$2:$S$298,"44531B3Convencional pré-pagamentoNão se aplicaNão se aplicaNão se aplicaNão se aplicaFora ponta",Mercado_Receita!$L$2:$L$298)+SUMIF(Mercado_Receita!$S$2:$S$298,"44531B3Convencional pré-pagamentoNão se aplicaNão se aplicaNão se aplicaNão se aplicaIntermediário",Mercado_Receita!$L$2:$L$298)+SUMIF(Mercado_Receita!$S$2:$S$298,"44531B3Convencional pré-pagamentoNão se aplicaNão se aplicaNão se aplicaNão se aplicaNão se aplica",Mercado_Receita!$L$2:$L$298)</f>
        <v>0</v>
      </c>
      <c r="R46" s="12">
        <f>SUMIF(Mercado_Receita!$S$2:$S$298,"44562B3Convencional pré-pagamentoNão se aplicaNão se aplicaNão se aplicaNão se aplicaPonta",Mercado_Receita!$L$2:$L$298)+SUMIF(Mercado_Receita!$S$2:$S$298,"44562B3Convencional pré-pagamentoNão se aplicaNão se aplicaNão se aplicaNão se aplicaFora ponta",Mercado_Receita!$L$2:$L$298)+SUMIF(Mercado_Receita!$S$2:$S$298,"44562B3Convencional pré-pagamentoNão se aplicaNão se aplicaNão se aplicaNão se aplicaIntermediário",Mercado_Receita!$L$2:$L$298)+SUMIF(Mercado_Receita!$S$2:$S$298,"44562B3Convencional pré-pagamentoNão se aplicaNão se aplicaNão se aplicaNão se aplicaNão se aplica",Mercado_Receita!$L$2:$L$298)</f>
        <v>0</v>
      </c>
      <c r="S46" s="12">
        <f>SUMIF(Mercado_Receita!$S$2:$S$298,"44593B3Convencional pré-pagamentoNão se aplicaNão se aplicaNão se aplicaNão se aplicaPonta",Mercado_Receita!$L$2:$L$298)+SUMIF(Mercado_Receita!$S$2:$S$298,"44593B3Convencional pré-pagamentoNão se aplicaNão se aplicaNão se aplicaNão se aplicaFora ponta",Mercado_Receita!$L$2:$L$298)+SUMIF(Mercado_Receita!$S$2:$S$298,"44593B3Convencional pré-pagamentoNão se aplicaNão se aplicaNão se aplicaNão se aplicaIntermediário",Mercado_Receita!$L$2:$L$298)+SUMIF(Mercado_Receita!$S$2:$S$298,"44593B3Convencional pré-pagamentoNão se aplicaNão se aplicaNão se aplicaNão se aplicaNão se aplica",Mercado_Receita!$L$2:$L$298)</f>
        <v>0</v>
      </c>
      <c r="T46" s="12">
        <f>SUMIF(Mercado_Receita!$S$2:$S$298,"44621B3Convencional pré-pagamentoNão se aplicaNão se aplicaNão se aplicaNão se aplicaPonta",Mercado_Receita!$L$2:$L$298)+SUMIF(Mercado_Receita!$S$2:$S$298,"44621B3Convencional pré-pagamentoNão se aplicaNão se aplicaNão se aplicaNão se aplicaFora ponta",Mercado_Receita!$L$2:$L$298)+SUMIF(Mercado_Receita!$S$2:$S$298,"44621B3Convencional pré-pagamentoNão se aplicaNão se aplicaNão se aplicaNão se aplicaIntermediário",Mercado_Receita!$L$2:$L$298)+SUMIF(Mercado_Receita!$S$2:$S$298,"44621B3Convencional pré-pagamentoNão se aplicaNão se aplicaNão se aplicaNão se aplicaNão se aplica",Mercado_Receita!$L$2:$L$298)</f>
        <v>0</v>
      </c>
      <c r="U46" s="12">
        <f t="shared" si="0"/>
        <v>0</v>
      </c>
      <c r="V46" s="12"/>
      <c r="W46" s="12"/>
    </row>
    <row r="47" spans="1:23" ht="11.25" customHeight="1" x14ac:dyDescent="0.3">
      <c r="A47" s="106" t="s">
        <v>43</v>
      </c>
      <c r="B47" s="106" t="s">
        <v>23</v>
      </c>
      <c r="C47" s="106" t="s">
        <v>44</v>
      </c>
      <c r="D47" s="13" t="s">
        <v>45</v>
      </c>
      <c r="E47" s="13" t="s">
        <v>25</v>
      </c>
      <c r="F47" s="13" t="s">
        <v>25</v>
      </c>
      <c r="G47" s="12" t="s">
        <v>74</v>
      </c>
      <c r="H47" s="12" t="s">
        <v>67</v>
      </c>
      <c r="I47" s="12">
        <f>SUMIF(Mercado_Receita!$S$2:$S$298,"44287B4ConvencionalIluminação públicaIluminação pública – B4aNão se aplicaNão se aplicaPonta",Mercado_Receita!$L$2:$L$298)+SUMIF(Mercado_Receita!$S$2:$S$298,"44287B4ConvencionalIluminação públicaIluminação pública – B4aNão se aplicaNão se aplicaFora ponta",Mercado_Receita!$L$2:$L$298)+SUMIF(Mercado_Receita!$S$2:$S$298,"44287B4ConvencionalIluminação públicaIluminação pública – B4aNão se aplicaNão se aplicaIntermediário",Mercado_Receita!$L$2:$L$298)+SUMIF(Mercado_Receita!$S$2:$S$298,"44287B4ConvencionalIluminação públicaIluminação pública – B4aNão se aplicaNão se aplicaNão se aplica",Mercado_Receita!$L$2:$L$298)</f>
        <v>59.307000000000002</v>
      </c>
      <c r="J47" s="12">
        <f>SUMIF(Mercado_Receita!$S$2:$S$298,"44317B4ConvencionalIluminação públicaIluminação pública – B4aNão se aplicaNão se aplicaPonta",Mercado_Receita!$L$2:$L$298)+SUMIF(Mercado_Receita!$S$2:$S$298,"44317B4ConvencionalIluminação públicaIluminação pública – B4aNão se aplicaNão se aplicaFora ponta",Mercado_Receita!$L$2:$L$298)+SUMIF(Mercado_Receita!$S$2:$S$298,"44317B4ConvencionalIluminação públicaIluminação pública – B4aNão se aplicaNão se aplicaIntermediário",Mercado_Receita!$L$2:$L$298)+SUMIF(Mercado_Receita!$S$2:$S$298,"44317B4ConvencionalIluminação públicaIluminação pública – B4aNão se aplicaNão se aplicaNão se aplica",Mercado_Receita!$L$2:$L$298)</f>
        <v>58.252000000000002</v>
      </c>
      <c r="K47" s="12">
        <f>SUMIF(Mercado_Receita!$S$2:$S$298,"44348B4ConvencionalIluminação públicaIluminação pública – B4aNão se aplicaNão se aplicaPonta",Mercado_Receita!$L$2:$L$298)+SUMIF(Mercado_Receita!$S$2:$S$298,"44348B4ConvencionalIluminação públicaIluminação pública – B4aNão se aplicaNão se aplicaFora ponta",Mercado_Receita!$L$2:$L$298)+SUMIF(Mercado_Receita!$S$2:$S$298,"44348B4ConvencionalIluminação públicaIluminação pública – B4aNão se aplicaNão se aplicaIntermediário",Mercado_Receita!$L$2:$L$298)+SUMIF(Mercado_Receita!$S$2:$S$298,"44348B4ConvencionalIluminação públicaIluminação pública – B4aNão se aplicaNão se aplicaNão se aplica",Mercado_Receita!$L$2:$L$298)</f>
        <v>56.93</v>
      </c>
      <c r="L47" s="12">
        <f>SUMIF(Mercado_Receita!$S$2:$S$298,"44378B4ConvencionalIluminação públicaIluminação pública – B4aNão se aplicaNão se aplicaPonta",Mercado_Receita!$L$2:$L$298)+SUMIF(Mercado_Receita!$S$2:$S$298,"44378B4ConvencionalIluminação públicaIluminação pública – B4aNão se aplicaNão se aplicaFora ponta",Mercado_Receita!$L$2:$L$298)+SUMIF(Mercado_Receita!$S$2:$S$298,"44378B4ConvencionalIluminação públicaIluminação pública – B4aNão se aplicaNão se aplicaIntermediário",Mercado_Receita!$L$2:$L$298)+SUMIF(Mercado_Receita!$S$2:$S$298,"44378B4ConvencionalIluminação públicaIluminação pública – B4aNão se aplicaNão se aplicaNão se aplica",Mercado_Receita!$L$2:$L$298)</f>
        <v>58.279000000000003</v>
      </c>
      <c r="M47" s="12">
        <f>SUMIF(Mercado_Receita!$S$2:$S$298,"44409B4ConvencionalIluminação públicaIluminação pública – B4aNão se aplicaNão se aplicaPonta",Mercado_Receita!$L$2:$L$298)+SUMIF(Mercado_Receita!$S$2:$S$298,"44409B4ConvencionalIluminação públicaIluminação pública – B4aNão se aplicaNão se aplicaFora ponta",Mercado_Receita!$L$2:$L$298)+SUMIF(Mercado_Receita!$S$2:$S$298,"44409B4ConvencionalIluminação públicaIluminação pública – B4aNão se aplicaNão se aplicaIntermediário",Mercado_Receita!$L$2:$L$298)+SUMIF(Mercado_Receita!$S$2:$S$298,"44409B4ConvencionalIluminação públicaIluminação pública – B4aNão se aplicaNão se aplicaNão se aplica",Mercado_Receita!$L$2:$L$298)</f>
        <v>56.210999999999999</v>
      </c>
      <c r="N47" s="12">
        <f>SUMIF(Mercado_Receita!$S$2:$S$298,"44440B4ConvencionalIluminação públicaIluminação pública – B4aNão se aplicaNão se aplicaPonta",Mercado_Receita!$L$2:$L$298)+SUMIF(Mercado_Receita!$S$2:$S$298,"44440B4ConvencionalIluminação públicaIluminação pública – B4aNão se aplicaNão se aplicaFora ponta",Mercado_Receita!$L$2:$L$298)+SUMIF(Mercado_Receita!$S$2:$S$298,"44440B4ConvencionalIluminação públicaIluminação pública – B4aNão se aplicaNão se aplicaIntermediário",Mercado_Receita!$L$2:$L$298)+SUMIF(Mercado_Receita!$S$2:$S$298,"44440B4ConvencionalIluminação públicaIluminação pública – B4aNão se aplicaNão se aplicaNão se aplica",Mercado_Receita!$L$2:$L$298)</f>
        <v>51.582000000000001</v>
      </c>
      <c r="O47" s="12">
        <f>SUMIF(Mercado_Receita!$S$2:$S$298,"44470B4ConvencionalIluminação públicaIluminação pública – B4aNão se aplicaNão se aplicaPonta",Mercado_Receita!$L$2:$L$298)+SUMIF(Mercado_Receita!$S$2:$S$298,"44470B4ConvencionalIluminação públicaIluminação pública – B4aNão se aplicaNão se aplicaFora ponta",Mercado_Receita!$L$2:$L$298)+SUMIF(Mercado_Receita!$S$2:$S$298,"44470B4ConvencionalIluminação públicaIluminação pública – B4aNão se aplicaNão se aplicaIntermediário",Mercado_Receita!$L$2:$L$298)+SUMIF(Mercado_Receita!$S$2:$S$298,"44470B4ConvencionalIluminação públicaIluminação pública – B4aNão se aplicaNão se aplicaNão se aplica",Mercado_Receita!$L$2:$L$298)</f>
        <v>51.317999999999998</v>
      </c>
      <c r="P47" s="12">
        <f>SUMIF(Mercado_Receita!$S$2:$S$298,"44501B4ConvencionalIluminação públicaIluminação pública – B4aNão se aplicaNão se aplicaPonta",Mercado_Receita!$L$2:$L$298)+SUMIF(Mercado_Receita!$S$2:$S$298,"44501B4ConvencionalIluminação públicaIluminação pública – B4aNão se aplicaNão se aplicaFora ponta",Mercado_Receita!$L$2:$L$298)+SUMIF(Mercado_Receita!$S$2:$S$298,"44501B4ConvencionalIluminação públicaIluminação pública – B4aNão se aplicaNão se aplicaIntermediário",Mercado_Receita!$L$2:$L$298)+SUMIF(Mercado_Receita!$S$2:$S$298,"44501B4ConvencionalIluminação públicaIluminação pública – B4aNão se aplicaNão se aplicaNão se aplica",Mercado_Receita!$L$2:$L$298)</f>
        <v>52.271999999999998</v>
      </c>
      <c r="Q47" s="12">
        <f>SUMIF(Mercado_Receita!$S$2:$S$298,"44531B4ConvencionalIluminação públicaIluminação pública – B4aNão se aplicaNão se aplicaPonta",Mercado_Receita!$L$2:$L$298)+SUMIF(Mercado_Receita!$S$2:$S$298,"44531B4ConvencionalIluminação públicaIluminação pública – B4aNão se aplicaNão se aplicaFora ponta",Mercado_Receita!$L$2:$L$298)+SUMIF(Mercado_Receita!$S$2:$S$298,"44531B4ConvencionalIluminação públicaIluminação pública – B4aNão se aplicaNão se aplicaIntermediário",Mercado_Receita!$L$2:$L$298)+SUMIF(Mercado_Receita!$S$2:$S$298,"44531B4ConvencionalIluminação públicaIluminação pública – B4aNão se aplicaNão se aplicaNão se aplica",Mercado_Receita!$L$2:$L$298)</f>
        <v>58.875999999999998</v>
      </c>
      <c r="R47" s="12">
        <f>SUMIF(Mercado_Receita!$S$2:$S$298,"44562B4ConvencionalIluminação públicaIluminação pública – B4aNão se aplicaNão se aplicaPonta",Mercado_Receita!$L$2:$L$298)+SUMIF(Mercado_Receita!$S$2:$S$298,"44562B4ConvencionalIluminação públicaIluminação pública – B4aNão se aplicaNão se aplicaFora ponta",Mercado_Receita!$L$2:$L$298)+SUMIF(Mercado_Receita!$S$2:$S$298,"44562B4ConvencionalIluminação públicaIluminação pública – B4aNão se aplicaNão se aplicaIntermediário",Mercado_Receita!$L$2:$L$298)+SUMIF(Mercado_Receita!$S$2:$S$298,"44562B4ConvencionalIluminação públicaIluminação pública – B4aNão se aplicaNão se aplicaNão se aplica",Mercado_Receita!$L$2:$L$298)</f>
        <v>53.69</v>
      </c>
      <c r="S47" s="12">
        <f>SUMIF(Mercado_Receita!$S$2:$S$298,"44593B4ConvencionalIluminação públicaIluminação pública – B4aNão se aplicaNão se aplicaPonta",Mercado_Receita!$L$2:$L$298)+SUMIF(Mercado_Receita!$S$2:$S$298,"44593B4ConvencionalIluminação públicaIluminação pública – B4aNão se aplicaNão se aplicaFora ponta",Mercado_Receita!$L$2:$L$298)+SUMIF(Mercado_Receita!$S$2:$S$298,"44593B4ConvencionalIluminação públicaIluminação pública – B4aNão se aplicaNão se aplicaIntermediário",Mercado_Receita!$L$2:$L$298)+SUMIF(Mercado_Receita!$S$2:$S$298,"44593B4ConvencionalIluminação públicaIluminação pública – B4aNão se aplicaNão se aplicaNão se aplica",Mercado_Receita!$L$2:$L$298)</f>
        <v>50.51</v>
      </c>
      <c r="T47" s="12">
        <f>SUMIF(Mercado_Receita!$S$2:$S$298,"44621B4ConvencionalIluminação públicaIluminação pública – B4aNão se aplicaNão se aplicaPonta",Mercado_Receita!$L$2:$L$298)+SUMIF(Mercado_Receita!$S$2:$S$298,"44621B4ConvencionalIluminação públicaIluminação pública – B4aNão se aplicaNão se aplicaFora ponta",Mercado_Receita!$L$2:$L$298)+SUMIF(Mercado_Receita!$S$2:$S$298,"44621B4ConvencionalIluminação públicaIluminação pública – B4aNão se aplicaNão se aplicaIntermediário",Mercado_Receita!$L$2:$L$298)+SUMIF(Mercado_Receita!$S$2:$S$298,"44621B4ConvencionalIluminação públicaIluminação pública – B4aNão se aplicaNão se aplicaNão se aplica",Mercado_Receita!$L$2:$L$298)</f>
        <v>58.673999999999999</v>
      </c>
      <c r="U47" s="12">
        <f t="shared" si="0"/>
        <v>665.90099999999984</v>
      </c>
      <c r="V47" s="12"/>
      <c r="W47" s="12"/>
    </row>
    <row r="48" spans="1:23" ht="11.25" customHeight="1" x14ac:dyDescent="0.3">
      <c r="A48" s="107"/>
      <c r="B48" s="107"/>
      <c r="C48" s="107"/>
      <c r="D48" s="12" t="s">
        <v>87</v>
      </c>
      <c r="E48" s="12" t="s">
        <v>25</v>
      </c>
      <c r="F48" s="12" t="s">
        <v>25</v>
      </c>
      <c r="G48" s="12" t="s">
        <v>74</v>
      </c>
      <c r="H48" s="12" t="s">
        <v>67</v>
      </c>
      <c r="I48" s="12">
        <f>SUMIF(Mercado_Receita!$S$2:$S$298,"44287B4ConvencionalIluminação públicaIluminação pública – B4bNão se aplicaNão se aplicaPonta",Mercado_Receita!$L$2:$L$298)+SUMIF(Mercado_Receita!$S$2:$S$298,"44287B4ConvencionalIluminação públicaIluminação pública – B4bNão se aplicaNão se aplicaFora ponta",Mercado_Receita!$L$2:$L$298)+SUMIF(Mercado_Receita!$S$2:$S$298,"44287B4ConvencionalIluminação públicaIluminação pública – B4bNão se aplicaNão se aplicaIntermediário",Mercado_Receita!$L$2:$L$298)+SUMIF(Mercado_Receita!$S$2:$S$298,"44287B4ConvencionalIluminação públicaIluminação pública – B4bNão se aplicaNão se aplicaNão se aplica",Mercado_Receita!$L$2:$L$298)</f>
        <v>0</v>
      </c>
      <c r="J48" s="12">
        <f>SUMIF(Mercado_Receita!$S$2:$S$298,"44317B4ConvencionalIluminação públicaIluminação pública – B4bNão se aplicaNão se aplicaPonta",Mercado_Receita!$L$2:$L$298)+SUMIF(Mercado_Receita!$S$2:$S$298,"44317B4ConvencionalIluminação públicaIluminação pública – B4bNão se aplicaNão se aplicaFora ponta",Mercado_Receita!$L$2:$L$298)+SUMIF(Mercado_Receita!$S$2:$S$298,"44317B4ConvencionalIluminação públicaIluminação pública – B4bNão se aplicaNão se aplicaIntermediário",Mercado_Receita!$L$2:$L$298)+SUMIF(Mercado_Receita!$S$2:$S$298,"44317B4ConvencionalIluminação públicaIluminação pública – B4bNão se aplicaNão se aplicaNão se aplica",Mercado_Receita!$L$2:$L$298)</f>
        <v>0</v>
      </c>
      <c r="K48" s="12">
        <f>SUMIF(Mercado_Receita!$S$2:$S$298,"44348B4ConvencionalIluminação públicaIluminação pública – B4bNão se aplicaNão se aplicaPonta",Mercado_Receita!$L$2:$L$298)+SUMIF(Mercado_Receita!$S$2:$S$298,"44348B4ConvencionalIluminação públicaIluminação pública – B4bNão se aplicaNão se aplicaFora ponta",Mercado_Receita!$L$2:$L$298)+SUMIF(Mercado_Receita!$S$2:$S$298,"44348B4ConvencionalIluminação públicaIluminação pública – B4bNão se aplicaNão se aplicaIntermediário",Mercado_Receita!$L$2:$L$298)+SUMIF(Mercado_Receita!$S$2:$S$298,"44348B4ConvencionalIluminação públicaIluminação pública – B4bNão se aplicaNão se aplicaNão se aplica",Mercado_Receita!$L$2:$L$298)</f>
        <v>0</v>
      </c>
      <c r="L48" s="12">
        <f>SUMIF(Mercado_Receita!$S$2:$S$298,"44378B4ConvencionalIluminação públicaIluminação pública – B4bNão se aplicaNão se aplicaPonta",Mercado_Receita!$L$2:$L$298)+SUMIF(Mercado_Receita!$S$2:$S$298,"44378B4ConvencionalIluminação públicaIluminação pública – B4bNão se aplicaNão se aplicaFora ponta",Mercado_Receita!$L$2:$L$298)+SUMIF(Mercado_Receita!$S$2:$S$298,"44378B4ConvencionalIluminação públicaIluminação pública – B4bNão se aplicaNão se aplicaIntermediário",Mercado_Receita!$L$2:$L$298)+SUMIF(Mercado_Receita!$S$2:$S$298,"44378B4ConvencionalIluminação públicaIluminação pública – B4bNão se aplicaNão se aplicaNão se aplica",Mercado_Receita!$L$2:$L$298)</f>
        <v>0</v>
      </c>
      <c r="M48" s="12">
        <f>SUMIF(Mercado_Receita!$S$2:$S$298,"44409B4ConvencionalIluminação públicaIluminação pública – B4bNão se aplicaNão se aplicaPonta",Mercado_Receita!$L$2:$L$298)+SUMIF(Mercado_Receita!$S$2:$S$298,"44409B4ConvencionalIluminação públicaIluminação pública – B4bNão se aplicaNão se aplicaFora ponta",Mercado_Receita!$L$2:$L$298)+SUMIF(Mercado_Receita!$S$2:$S$298,"44409B4ConvencionalIluminação públicaIluminação pública – B4bNão se aplicaNão se aplicaIntermediário",Mercado_Receita!$L$2:$L$298)+SUMIF(Mercado_Receita!$S$2:$S$298,"44409B4ConvencionalIluminação públicaIluminação pública – B4bNão se aplicaNão se aplicaNão se aplica",Mercado_Receita!$L$2:$L$298)</f>
        <v>0</v>
      </c>
      <c r="N48" s="12">
        <f>SUMIF(Mercado_Receita!$S$2:$S$298,"44440B4ConvencionalIluminação públicaIluminação pública – B4bNão se aplicaNão se aplicaPonta",Mercado_Receita!$L$2:$L$298)+SUMIF(Mercado_Receita!$S$2:$S$298,"44440B4ConvencionalIluminação públicaIluminação pública – B4bNão se aplicaNão se aplicaFora ponta",Mercado_Receita!$L$2:$L$298)+SUMIF(Mercado_Receita!$S$2:$S$298,"44440B4ConvencionalIluminação públicaIluminação pública – B4bNão se aplicaNão se aplicaIntermediário",Mercado_Receita!$L$2:$L$298)+SUMIF(Mercado_Receita!$S$2:$S$298,"44440B4ConvencionalIluminação públicaIluminação pública – B4bNão se aplicaNão se aplicaNão se aplica",Mercado_Receita!$L$2:$L$298)</f>
        <v>0</v>
      </c>
      <c r="O48" s="12">
        <f>SUMIF(Mercado_Receita!$S$2:$S$298,"44470B4ConvencionalIluminação públicaIluminação pública – B4bNão se aplicaNão se aplicaPonta",Mercado_Receita!$L$2:$L$298)+SUMIF(Mercado_Receita!$S$2:$S$298,"44470B4ConvencionalIluminação públicaIluminação pública – B4bNão se aplicaNão se aplicaFora ponta",Mercado_Receita!$L$2:$L$298)+SUMIF(Mercado_Receita!$S$2:$S$298,"44470B4ConvencionalIluminação públicaIluminação pública – B4bNão se aplicaNão se aplicaIntermediário",Mercado_Receita!$L$2:$L$298)+SUMIF(Mercado_Receita!$S$2:$S$298,"44470B4ConvencionalIluminação públicaIluminação pública – B4bNão se aplicaNão se aplicaNão se aplica",Mercado_Receita!$L$2:$L$298)</f>
        <v>0</v>
      </c>
      <c r="P48" s="12">
        <f>SUMIF(Mercado_Receita!$S$2:$S$298,"44501B4ConvencionalIluminação públicaIluminação pública – B4bNão se aplicaNão se aplicaPonta",Mercado_Receita!$L$2:$L$298)+SUMIF(Mercado_Receita!$S$2:$S$298,"44501B4ConvencionalIluminação públicaIluminação pública – B4bNão se aplicaNão se aplicaFora ponta",Mercado_Receita!$L$2:$L$298)+SUMIF(Mercado_Receita!$S$2:$S$298,"44501B4ConvencionalIluminação públicaIluminação pública – B4bNão se aplicaNão se aplicaIntermediário",Mercado_Receita!$L$2:$L$298)+SUMIF(Mercado_Receita!$S$2:$S$298,"44501B4ConvencionalIluminação públicaIluminação pública – B4bNão se aplicaNão se aplicaNão se aplica",Mercado_Receita!$L$2:$L$298)</f>
        <v>0</v>
      </c>
      <c r="Q48" s="12">
        <f>SUMIF(Mercado_Receita!$S$2:$S$298,"44531B4ConvencionalIluminação públicaIluminação pública – B4bNão se aplicaNão se aplicaPonta",Mercado_Receita!$L$2:$L$298)+SUMIF(Mercado_Receita!$S$2:$S$298,"44531B4ConvencionalIluminação públicaIluminação pública – B4bNão se aplicaNão se aplicaFora ponta",Mercado_Receita!$L$2:$L$298)+SUMIF(Mercado_Receita!$S$2:$S$298,"44531B4ConvencionalIluminação públicaIluminação pública – B4bNão se aplicaNão se aplicaIntermediário",Mercado_Receita!$L$2:$L$298)+SUMIF(Mercado_Receita!$S$2:$S$298,"44531B4ConvencionalIluminação públicaIluminação pública – B4bNão se aplicaNão se aplicaNão se aplica",Mercado_Receita!$L$2:$L$298)</f>
        <v>0</v>
      </c>
      <c r="R48" s="12">
        <f>SUMIF(Mercado_Receita!$S$2:$S$298,"44562B4ConvencionalIluminação públicaIluminação pública – B4bNão se aplicaNão se aplicaPonta",Mercado_Receita!$L$2:$L$298)+SUMIF(Mercado_Receita!$S$2:$S$298,"44562B4ConvencionalIluminação públicaIluminação pública – B4bNão se aplicaNão se aplicaFora ponta",Mercado_Receita!$L$2:$L$298)+SUMIF(Mercado_Receita!$S$2:$S$298,"44562B4ConvencionalIluminação públicaIluminação pública – B4bNão se aplicaNão se aplicaIntermediário",Mercado_Receita!$L$2:$L$298)+SUMIF(Mercado_Receita!$S$2:$S$298,"44562B4ConvencionalIluminação públicaIluminação pública – B4bNão se aplicaNão se aplicaNão se aplica",Mercado_Receita!$L$2:$L$298)</f>
        <v>0</v>
      </c>
      <c r="S48" s="12">
        <f>SUMIF(Mercado_Receita!$S$2:$S$298,"44593B4ConvencionalIluminação públicaIluminação pública – B4bNão se aplicaNão se aplicaPonta",Mercado_Receita!$L$2:$L$298)+SUMIF(Mercado_Receita!$S$2:$S$298,"44593B4ConvencionalIluminação públicaIluminação pública – B4bNão se aplicaNão se aplicaFora ponta",Mercado_Receita!$L$2:$L$298)+SUMIF(Mercado_Receita!$S$2:$S$298,"44593B4ConvencionalIluminação públicaIluminação pública – B4bNão se aplicaNão se aplicaIntermediário",Mercado_Receita!$L$2:$L$298)+SUMIF(Mercado_Receita!$S$2:$S$298,"44593B4ConvencionalIluminação públicaIluminação pública – B4bNão se aplicaNão se aplicaNão se aplica",Mercado_Receita!$L$2:$L$298)</f>
        <v>0</v>
      </c>
      <c r="T48" s="12">
        <f>SUMIF(Mercado_Receita!$S$2:$S$298,"44621B4ConvencionalIluminação públicaIluminação pública – B4bNão se aplicaNão se aplicaPonta",Mercado_Receita!$L$2:$L$298)+SUMIF(Mercado_Receita!$S$2:$S$298,"44621B4ConvencionalIluminação públicaIluminação pública – B4bNão se aplicaNão se aplicaFora ponta",Mercado_Receita!$L$2:$L$298)+SUMIF(Mercado_Receita!$S$2:$S$298,"44621B4ConvencionalIluminação públicaIluminação pública – B4bNão se aplicaNão se aplicaIntermediário",Mercado_Receita!$L$2:$L$298)+SUMIF(Mercado_Receita!$S$2:$S$298,"44621B4ConvencionalIluminação públicaIluminação pública – B4bNão se aplicaNão se aplicaNão se aplica",Mercado_Receita!$L$2:$L$298)</f>
        <v>0</v>
      </c>
      <c r="U48" s="12">
        <f t="shared" si="0"/>
        <v>0</v>
      </c>
      <c r="V48" s="12"/>
      <c r="W48" s="12"/>
    </row>
    <row r="49" spans="1:23" ht="11.25" customHeight="1" x14ac:dyDescent="0.3">
      <c r="A49" s="108" t="s">
        <v>346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38F9-999F-4355-8BD8-C470382110FF}">
  <dimension ref="A1:AD39"/>
  <sheetViews>
    <sheetView showGridLines="0" workbookViewId="0">
      <selection sqref="A1:W3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5.88671875" style="9" bestFit="1" customWidth="1"/>
    <col min="10" max="10" width="6.109375" style="9" bestFit="1" customWidth="1"/>
    <col min="11" max="12" width="5.6640625" style="9" bestFit="1" customWidth="1"/>
    <col min="13" max="13" width="6.109375" style="9" bestFit="1" customWidth="1"/>
    <col min="14" max="15" width="5.88671875" style="9" bestFit="1" customWidth="1"/>
    <col min="16" max="17" width="6.109375" style="9" bestFit="1" customWidth="1"/>
    <col min="18" max="19" width="5.6640625" style="9" bestFit="1" customWidth="1"/>
    <col min="20" max="20" width="6.44140625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1">
        <v>44287</v>
      </c>
      <c r="J1" s="11">
        <v>44317</v>
      </c>
      <c r="K1" s="11">
        <v>44348</v>
      </c>
      <c r="L1" s="11">
        <v>44378</v>
      </c>
      <c r="M1" s="11">
        <v>44409</v>
      </c>
      <c r="N1" s="11">
        <v>44440</v>
      </c>
      <c r="O1" s="11">
        <v>44470</v>
      </c>
      <c r="P1" s="11">
        <v>44501</v>
      </c>
      <c r="Q1" s="11">
        <v>44531</v>
      </c>
      <c r="R1" s="11">
        <v>44562</v>
      </c>
      <c r="S1" s="11">
        <v>44593</v>
      </c>
      <c r="T1" s="11">
        <v>44621</v>
      </c>
      <c r="U1" s="10" t="s">
        <v>65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06" t="s">
        <v>36</v>
      </c>
      <c r="B2" s="106" t="s">
        <v>66</v>
      </c>
      <c r="C2" s="106" t="s">
        <v>25</v>
      </c>
      <c r="D2" s="106" t="s">
        <v>25</v>
      </c>
      <c r="E2" s="106" t="s">
        <v>25</v>
      </c>
      <c r="F2" s="106" t="s">
        <v>25</v>
      </c>
      <c r="G2" s="14" t="s">
        <v>68</v>
      </c>
      <c r="H2" s="14" t="s">
        <v>67</v>
      </c>
      <c r="I2" s="14">
        <f>SUMIF(Mercado_Receita!$T$2:$T$298,"44287A4Energia horáriaNão se aplicaNão se aplicaNão se aplicaNão se aplicaPonta",Mercado_Receita!$N$2:$N$298)</f>
        <v>10.566000000000001</v>
      </c>
      <c r="J2" s="14">
        <f>SUMIF(Mercado_Receita!$T$2:$T$298,"44317A4Energia horáriaNão se aplicaNão se aplicaNão se aplicaNão se aplicaPonta",Mercado_Receita!$N$2:$N$298)</f>
        <v>10.232999999999999</v>
      </c>
      <c r="K2" s="14">
        <f>SUMIF(Mercado_Receita!$T$2:$T$298,"44348A4Energia horáriaNão se aplicaNão se aplicaNão se aplicaNão se aplicaPonta",Mercado_Receita!$N$2:$N$298)</f>
        <v>10.54</v>
      </c>
      <c r="L2" s="14">
        <f>SUMIF(Mercado_Receita!$T$2:$T$298,"44378A4Energia horáriaNão se aplicaNão se aplicaNão se aplicaNão se aplicaPonta",Mercado_Receita!$N$2:$N$298)</f>
        <v>13.474</v>
      </c>
      <c r="M2" s="14">
        <f>SUMIF(Mercado_Receita!$T$2:$T$298,"44409A4Energia horáriaNão se aplicaNão se aplicaNão se aplicaNão se aplicaPonta",Mercado_Receita!$N$2:$N$298)</f>
        <v>11.988</v>
      </c>
      <c r="N2" s="14">
        <f>SUMIF(Mercado_Receita!$T$2:$T$298,"44440A4Energia horáriaNão se aplicaNão se aplicaNão se aplicaNão se aplicaPonta",Mercado_Receita!$N$2:$N$298)</f>
        <v>12.267000000000001</v>
      </c>
      <c r="O2" s="14">
        <f>SUMIF(Mercado_Receita!$T$2:$T$298,"44470A4Energia horáriaNão se aplicaNão se aplicaNão se aplicaNão se aplicaPonta",Mercado_Receita!$N$2:$N$298)</f>
        <v>11.301</v>
      </c>
      <c r="P2" s="14">
        <f>SUMIF(Mercado_Receita!$T$2:$T$298,"44501A4Energia horáriaNão se aplicaNão se aplicaNão se aplicaNão se aplicaPonta",Mercado_Receita!$N$2:$N$298)</f>
        <v>12.877000000000001</v>
      </c>
      <c r="Q2" s="14">
        <f>SUMIF(Mercado_Receita!$T$2:$T$298,"44531A4Energia horáriaNão se aplicaNão se aplicaNão se aplicaNão se aplicaPonta",Mercado_Receita!$N$2:$N$298)</f>
        <v>15.531000000000001</v>
      </c>
      <c r="R2" s="14">
        <f>SUMIF(Mercado_Receita!$T$2:$T$298,"44562A4Energia horáriaNão se aplicaNão se aplicaNão se aplicaNão se aplicaPonta",Mercado_Receita!$N$2:$N$298)</f>
        <v>15.116</v>
      </c>
      <c r="S2" s="14">
        <f>SUMIF(Mercado_Receita!$T$2:$T$298,"44593A4Energia horáriaNão se aplicaNão se aplicaNão se aplicaNão se aplicaPonta",Mercado_Receita!$N$2:$N$298)</f>
        <v>11.265000000000001</v>
      </c>
      <c r="T2" s="14">
        <f>SUMIF(Mercado_Receita!$T$2:$T$298,"44621A4Energia horáriaNão se aplicaNão se aplicaNão se aplicaNão se aplicaPonta",Mercado_Receita!$N$2:$N$298)</f>
        <v>14.794</v>
      </c>
      <c r="U2" s="14">
        <f t="shared" ref="U2:U38" si="0">SUM(I2:T2)</f>
        <v>149.95200000000003</v>
      </c>
      <c r="V2" s="14"/>
      <c r="W2" s="14"/>
    </row>
    <row r="3" spans="1:30" ht="11.25" customHeight="1" x14ac:dyDescent="0.3">
      <c r="A3" s="107"/>
      <c r="B3" s="107"/>
      <c r="C3" s="107"/>
      <c r="D3" s="107"/>
      <c r="E3" s="107"/>
      <c r="F3" s="107"/>
      <c r="G3" s="14" t="s">
        <v>69</v>
      </c>
      <c r="H3" s="14" t="s">
        <v>67</v>
      </c>
      <c r="I3" s="14">
        <f>SUMIF(Mercado_Receita!$T$2:$T$298,"44287A4Energia horáriaNão se aplicaNão se aplicaNão se aplicaNão se aplicaFora ponta",Mercado_Receita!$N$2:$N$298)</f>
        <v>188.59299999999999</v>
      </c>
      <c r="J3" s="14">
        <f>SUMIF(Mercado_Receita!$T$2:$T$298,"44317A4Energia horáriaNão se aplicaNão se aplicaNão se aplicaNão se aplicaFora ponta",Mercado_Receita!$N$2:$N$298)</f>
        <v>186.00700000000001</v>
      </c>
      <c r="K3" s="14">
        <f>SUMIF(Mercado_Receita!$T$2:$T$298,"44348A4Energia horáriaNão se aplicaNão se aplicaNão se aplicaNão se aplicaFora ponta",Mercado_Receita!$N$2:$N$298)</f>
        <v>180.72299999999998</v>
      </c>
      <c r="L3" s="14">
        <f>SUMIF(Mercado_Receita!$T$2:$T$298,"44378A4Energia horáriaNão se aplicaNão se aplicaNão se aplicaNão se aplicaFora ponta",Mercado_Receita!$N$2:$N$298)</f>
        <v>201.95400000000001</v>
      </c>
      <c r="M3" s="14">
        <f>SUMIF(Mercado_Receita!$T$2:$T$298,"44409A4Energia horáriaNão se aplicaNão se aplicaNão se aplicaNão se aplicaFora ponta",Mercado_Receita!$N$2:$N$298)</f>
        <v>186.32999999999998</v>
      </c>
      <c r="N3" s="14">
        <f>SUMIF(Mercado_Receita!$T$2:$T$298,"44440A4Energia horáriaNão se aplicaNão se aplicaNão se aplicaNão se aplicaFora ponta",Mercado_Receita!$N$2:$N$298)</f>
        <v>202.042</v>
      </c>
      <c r="O3" s="14">
        <f>SUMIF(Mercado_Receita!$T$2:$T$298,"44470A4Energia horáriaNão se aplicaNão se aplicaNão se aplicaNão se aplicaFora ponta",Mercado_Receita!$N$2:$N$298)</f>
        <v>211.17099999999999</v>
      </c>
      <c r="P3" s="14">
        <f>SUMIF(Mercado_Receita!$T$2:$T$298,"44501A4Energia horáriaNão se aplicaNão se aplicaNão se aplicaNão se aplicaFora ponta",Mercado_Receita!$N$2:$N$298)</f>
        <v>216.27200000000002</v>
      </c>
      <c r="Q3" s="14">
        <f>SUMIF(Mercado_Receita!$T$2:$T$298,"44531A4Energia horáriaNão se aplicaNão se aplicaNão se aplicaNão se aplicaFora ponta",Mercado_Receita!$N$2:$N$298)</f>
        <v>244.20299999999997</v>
      </c>
      <c r="R3" s="14">
        <f>SUMIF(Mercado_Receita!$T$2:$T$298,"44562A4Energia horáriaNão se aplicaNão se aplicaNão se aplicaNão se aplicaFora ponta",Mercado_Receita!$N$2:$N$298)</f>
        <v>268.12599999999998</v>
      </c>
      <c r="S3" s="14">
        <f>SUMIF(Mercado_Receita!$T$2:$T$298,"44593A4Energia horáriaNão se aplicaNão se aplicaNão se aplicaNão se aplicaFora ponta",Mercado_Receita!$N$2:$N$298)</f>
        <v>213.53700000000001</v>
      </c>
      <c r="T3" s="14">
        <f>SUMIF(Mercado_Receita!$T$2:$T$298,"44621A4Energia horáriaNão se aplicaNão se aplicaNão se aplicaNão se aplicaFora ponta",Mercado_Receita!$N$2:$N$298)</f>
        <v>237.84200000000001</v>
      </c>
      <c r="U3" s="14">
        <f t="shared" si="0"/>
        <v>2536.7999999999997</v>
      </c>
      <c r="V3" s="14"/>
      <c r="W3" s="14"/>
    </row>
    <row r="4" spans="1:30" ht="11.25" customHeight="1" x14ac:dyDescent="0.3">
      <c r="A4" s="106" t="s">
        <v>22</v>
      </c>
      <c r="B4" s="106" t="s">
        <v>66</v>
      </c>
      <c r="C4" s="106" t="s">
        <v>24</v>
      </c>
      <c r="D4" s="106" t="s">
        <v>24</v>
      </c>
      <c r="E4" s="106" t="s">
        <v>25</v>
      </c>
      <c r="F4" s="106" t="s">
        <v>25</v>
      </c>
      <c r="G4" s="14" t="s">
        <v>68</v>
      </c>
      <c r="H4" s="14" t="s">
        <v>67</v>
      </c>
      <c r="I4" s="14">
        <f>SUMIF(Mercado_Receita!$T$2:$T$298,"44287B1Energia horáriaResidencialResidencialNão se aplicaNão se aplicaPonta",Mercado_Receita!$N$2:$N$298)</f>
        <v>0</v>
      </c>
      <c r="J4" s="14">
        <f>SUMIF(Mercado_Receita!$T$2:$T$298,"44317B1Energia horáriaResidencialResidencialNão se aplicaNão se aplicaPonta",Mercado_Receita!$N$2:$N$298)</f>
        <v>0</v>
      </c>
      <c r="K4" s="14">
        <f>SUMIF(Mercado_Receita!$T$2:$T$298,"44348B1Energia horáriaResidencialResidencialNão se aplicaNão se aplicaPonta",Mercado_Receita!$N$2:$N$298)</f>
        <v>0</v>
      </c>
      <c r="L4" s="14">
        <f>SUMIF(Mercado_Receita!$T$2:$T$298,"44378B1Energia horáriaResidencialResidencialNão se aplicaNão se aplicaPonta",Mercado_Receita!$N$2:$N$298)</f>
        <v>0</v>
      </c>
      <c r="M4" s="14">
        <f>SUMIF(Mercado_Receita!$T$2:$T$298,"44409B1Energia horáriaResidencialResidencialNão se aplicaNão se aplicaPonta",Mercado_Receita!$N$2:$N$298)</f>
        <v>0</v>
      </c>
      <c r="N4" s="14">
        <f>SUMIF(Mercado_Receita!$T$2:$T$298,"44440B1Energia horáriaResidencialResidencialNão se aplicaNão se aplicaPonta",Mercado_Receita!$N$2:$N$298)</f>
        <v>0</v>
      </c>
      <c r="O4" s="14">
        <f>SUMIF(Mercado_Receita!$T$2:$T$298,"44470B1Energia horáriaResidencialResidencialNão se aplicaNão se aplicaPonta",Mercado_Receita!$N$2:$N$298)</f>
        <v>0</v>
      </c>
      <c r="P4" s="14">
        <f>SUMIF(Mercado_Receita!$T$2:$T$298,"44501B1Energia horáriaResidencialResidencialNão se aplicaNão se aplicaPonta",Mercado_Receita!$N$2:$N$298)</f>
        <v>0</v>
      </c>
      <c r="Q4" s="14">
        <f>SUMIF(Mercado_Receita!$T$2:$T$298,"44531B1Energia horáriaResidencialResidencialNão se aplicaNão se aplicaPonta",Mercado_Receita!$N$2:$N$298)</f>
        <v>0</v>
      </c>
      <c r="R4" s="14">
        <f>SUMIF(Mercado_Receita!$T$2:$T$298,"44562B1Energia horáriaResidencialResidencialNão se aplicaNão se aplicaPonta",Mercado_Receita!$N$2:$N$298)</f>
        <v>0</v>
      </c>
      <c r="S4" s="14">
        <f>SUMIF(Mercado_Receita!$T$2:$T$298,"44593B1Energia horáriaResidencialResidencialNão se aplicaNão se aplicaPonta",Mercado_Receita!$N$2:$N$298)</f>
        <v>0</v>
      </c>
      <c r="T4" s="14">
        <f>SUMIF(Mercado_Receita!$T$2:$T$298,"44621B1Energia horáriaResidencialResidencialNão se aplicaNão se aplicaPonta",Mercado_Receita!$N$2:$N$298)</f>
        <v>0</v>
      </c>
      <c r="U4" s="14">
        <f t="shared" si="0"/>
        <v>0</v>
      </c>
      <c r="V4" s="14"/>
      <c r="W4" s="14"/>
    </row>
    <row r="5" spans="1:30" ht="11.25" customHeight="1" x14ac:dyDescent="0.3">
      <c r="A5" s="107"/>
      <c r="B5" s="107"/>
      <c r="C5" s="107"/>
      <c r="D5" s="107"/>
      <c r="E5" s="107"/>
      <c r="F5" s="107"/>
      <c r="G5" s="14" t="s">
        <v>80</v>
      </c>
      <c r="H5" s="14" t="s">
        <v>67</v>
      </c>
      <c r="I5" s="14">
        <f>SUMIF(Mercado_Receita!$T$2:$T$298,"44287B1Energia horáriaResidencialResidencialNão se aplicaNão se aplicaIntermediário",Mercado_Receita!$N$2:$N$298)</f>
        <v>0</v>
      </c>
      <c r="J5" s="14">
        <f>SUMIF(Mercado_Receita!$T$2:$T$298,"44317B1Energia horáriaResidencialResidencialNão se aplicaNão se aplicaIntermediário",Mercado_Receita!$N$2:$N$298)</f>
        <v>0</v>
      </c>
      <c r="K5" s="14">
        <f>SUMIF(Mercado_Receita!$T$2:$T$298,"44348B1Energia horáriaResidencialResidencialNão se aplicaNão se aplicaIntermediário",Mercado_Receita!$N$2:$N$298)</f>
        <v>0</v>
      </c>
      <c r="L5" s="14">
        <f>SUMIF(Mercado_Receita!$T$2:$T$298,"44378B1Energia horáriaResidencialResidencialNão se aplicaNão se aplicaIntermediário",Mercado_Receita!$N$2:$N$298)</f>
        <v>0</v>
      </c>
      <c r="M5" s="14">
        <f>SUMIF(Mercado_Receita!$T$2:$T$298,"44409B1Energia horáriaResidencialResidencialNão se aplicaNão se aplicaIntermediário",Mercado_Receita!$N$2:$N$298)</f>
        <v>0</v>
      </c>
      <c r="N5" s="14">
        <f>SUMIF(Mercado_Receita!$T$2:$T$298,"44440B1Energia horáriaResidencialResidencialNão se aplicaNão se aplicaIntermediário",Mercado_Receita!$N$2:$N$298)</f>
        <v>0</v>
      </c>
      <c r="O5" s="14">
        <f>SUMIF(Mercado_Receita!$T$2:$T$298,"44470B1Energia horáriaResidencialResidencialNão se aplicaNão se aplicaIntermediário",Mercado_Receita!$N$2:$N$298)</f>
        <v>0</v>
      </c>
      <c r="P5" s="14">
        <f>SUMIF(Mercado_Receita!$T$2:$T$298,"44501B1Energia horáriaResidencialResidencialNão se aplicaNão se aplicaIntermediário",Mercado_Receita!$N$2:$N$298)</f>
        <v>0</v>
      </c>
      <c r="Q5" s="14">
        <f>SUMIF(Mercado_Receita!$T$2:$T$298,"44531B1Energia horáriaResidencialResidencialNão se aplicaNão se aplicaIntermediário",Mercado_Receita!$N$2:$N$298)</f>
        <v>0</v>
      </c>
      <c r="R5" s="14">
        <f>SUMIF(Mercado_Receita!$T$2:$T$298,"44562B1Energia horáriaResidencialResidencialNão se aplicaNão se aplicaIntermediário",Mercado_Receita!$N$2:$N$298)</f>
        <v>0</v>
      </c>
      <c r="S5" s="14">
        <f>SUMIF(Mercado_Receita!$T$2:$T$298,"44593B1Energia horáriaResidencialResidencialNão se aplicaNão se aplicaIntermediário",Mercado_Receita!$N$2:$N$298)</f>
        <v>0</v>
      </c>
      <c r="T5" s="14">
        <f>SUMIF(Mercado_Receita!$T$2:$T$298,"44621B1Energia horáriaResidencialResidencialNão se aplicaNão se aplicaIntermediário",Mercado_Receita!$N$2:$N$298)</f>
        <v>0</v>
      </c>
      <c r="U5" s="14">
        <f t="shared" si="0"/>
        <v>0</v>
      </c>
      <c r="V5" s="14"/>
      <c r="W5" s="14"/>
    </row>
    <row r="6" spans="1:30" ht="11.25" customHeight="1" x14ac:dyDescent="0.3">
      <c r="A6" s="107"/>
      <c r="B6" s="107"/>
      <c r="C6" s="107"/>
      <c r="D6" s="107"/>
      <c r="E6" s="107"/>
      <c r="F6" s="107"/>
      <c r="G6" s="14" t="s">
        <v>69</v>
      </c>
      <c r="H6" s="14" t="s">
        <v>67</v>
      </c>
      <c r="I6" s="14">
        <f>SUMIF(Mercado_Receita!$T$2:$T$298,"44287B1Energia horáriaResidencialResidencialNão se aplicaNão se aplicaFora ponta",Mercado_Receita!$N$2:$N$298)</f>
        <v>0</v>
      </c>
      <c r="J6" s="14">
        <f>SUMIF(Mercado_Receita!$T$2:$T$298,"44317B1Energia horáriaResidencialResidencialNão se aplicaNão se aplicaFora ponta",Mercado_Receita!$N$2:$N$298)</f>
        <v>0</v>
      </c>
      <c r="K6" s="14">
        <f>SUMIF(Mercado_Receita!$T$2:$T$298,"44348B1Energia horáriaResidencialResidencialNão se aplicaNão se aplicaFora ponta",Mercado_Receita!$N$2:$N$298)</f>
        <v>0</v>
      </c>
      <c r="L6" s="14">
        <f>SUMIF(Mercado_Receita!$T$2:$T$298,"44378B1Energia horáriaResidencialResidencialNão se aplicaNão se aplicaFora ponta",Mercado_Receita!$N$2:$N$298)</f>
        <v>0</v>
      </c>
      <c r="M6" s="14">
        <f>SUMIF(Mercado_Receita!$T$2:$T$298,"44409B1Energia horáriaResidencialResidencialNão se aplicaNão se aplicaFora ponta",Mercado_Receita!$N$2:$N$298)</f>
        <v>0</v>
      </c>
      <c r="N6" s="14">
        <f>SUMIF(Mercado_Receita!$T$2:$T$298,"44440B1Energia horáriaResidencialResidencialNão se aplicaNão se aplicaFora ponta",Mercado_Receita!$N$2:$N$298)</f>
        <v>0</v>
      </c>
      <c r="O6" s="14">
        <f>SUMIF(Mercado_Receita!$T$2:$T$298,"44470B1Energia horáriaResidencialResidencialNão se aplicaNão se aplicaFora ponta",Mercado_Receita!$N$2:$N$298)</f>
        <v>0</v>
      </c>
      <c r="P6" s="14">
        <f>SUMIF(Mercado_Receita!$T$2:$T$298,"44501B1Energia horáriaResidencialResidencialNão se aplicaNão se aplicaFora ponta",Mercado_Receita!$N$2:$N$298)</f>
        <v>0</v>
      </c>
      <c r="Q6" s="14">
        <f>SUMIF(Mercado_Receita!$T$2:$T$298,"44531B1Energia horáriaResidencialResidencialNão se aplicaNão se aplicaFora ponta",Mercado_Receita!$N$2:$N$298)</f>
        <v>0</v>
      </c>
      <c r="R6" s="14">
        <f>SUMIF(Mercado_Receita!$T$2:$T$298,"44562B1Energia horáriaResidencialResidencialNão se aplicaNão se aplicaFora ponta",Mercado_Receita!$N$2:$N$298)</f>
        <v>0</v>
      </c>
      <c r="S6" s="14">
        <f>SUMIF(Mercado_Receita!$T$2:$T$298,"44593B1Energia horáriaResidencialResidencialNão se aplicaNão se aplicaFora ponta",Mercado_Receita!$N$2:$N$298)</f>
        <v>0</v>
      </c>
      <c r="T6" s="14">
        <f>SUMIF(Mercado_Receita!$T$2:$T$298,"44621B1Energia horáriaResidencialResidencialNão se aplicaNão se aplicaFora ponta",Mercado_Receita!$N$2:$N$298)</f>
        <v>0</v>
      </c>
      <c r="U6" s="14">
        <f t="shared" si="0"/>
        <v>0</v>
      </c>
      <c r="V6" s="14"/>
      <c r="W6" s="14"/>
    </row>
    <row r="7" spans="1:30" ht="11.25" customHeight="1" x14ac:dyDescent="0.3">
      <c r="A7" s="107"/>
      <c r="B7" s="106" t="s">
        <v>81</v>
      </c>
      <c r="C7" s="106" t="s">
        <v>24</v>
      </c>
      <c r="D7" s="13" t="s">
        <v>24</v>
      </c>
      <c r="E7" s="13" t="s">
        <v>25</v>
      </c>
      <c r="F7" s="13" t="s">
        <v>25</v>
      </c>
      <c r="G7" s="14" t="s">
        <v>74</v>
      </c>
      <c r="H7" s="14" t="s">
        <v>67</v>
      </c>
      <c r="I7" s="14">
        <f>SUMIF(Mercado_Receita!$T$2:$T$298,"44287B1Energia convencionalResidencialResidencialNão se aplicaNão se aplicaNão se aplica",Mercado_Receita!$N$2:$N$298)</f>
        <v>728.70900000000006</v>
      </c>
      <c r="J7" s="14">
        <f>SUMIF(Mercado_Receita!$T$2:$T$298,"44317B1Energia convencionalResidencialResidencialNão se aplicaNão se aplicaNão se aplica",Mercado_Receita!$N$2:$N$298)</f>
        <v>684.18200000000002</v>
      </c>
      <c r="K7" s="14">
        <f>SUMIF(Mercado_Receita!$T$2:$T$298,"44348B1Energia convencionalResidencialResidencialNão se aplicaNão se aplicaNão se aplica",Mercado_Receita!$N$2:$N$298)</f>
        <v>689.51799999999992</v>
      </c>
      <c r="L7" s="14">
        <f>SUMIF(Mercado_Receita!$T$2:$T$298,"44378B1Energia convencionalResidencialResidencialNão se aplicaNão se aplicaNão se aplica",Mercado_Receita!$N$2:$N$298)</f>
        <v>653.68200000000002</v>
      </c>
      <c r="M7" s="14">
        <f>SUMIF(Mercado_Receita!$T$2:$T$298,"44409B1Energia convencionalResidencialResidencialNão se aplicaNão se aplicaNão se aplica",Mercado_Receita!$N$2:$N$298)</f>
        <v>700.31400000000008</v>
      </c>
      <c r="N7" s="14">
        <f>SUMIF(Mercado_Receita!$T$2:$T$298,"44440B1Energia convencionalResidencialResidencialNão se aplicaNão se aplicaNão se aplica",Mercado_Receita!$N$2:$N$298)</f>
        <v>715.53400000000011</v>
      </c>
      <c r="O7" s="14">
        <f>SUMIF(Mercado_Receita!$T$2:$T$298,"44470B1Energia convencionalResidencialResidencialNão se aplicaNão se aplicaNão se aplica",Mercado_Receita!$N$2:$N$298)</f>
        <v>713.33300000000008</v>
      </c>
      <c r="P7" s="14">
        <f>SUMIF(Mercado_Receita!$T$2:$T$298,"44501B1Energia convencionalResidencialResidencialNão se aplicaNão se aplicaNão se aplica",Mercado_Receita!$N$2:$N$298)</f>
        <v>709.52800000000002</v>
      </c>
      <c r="Q7" s="14">
        <f>SUMIF(Mercado_Receita!$T$2:$T$298,"44531B1Energia convencionalResidencialResidencialNão se aplicaNão se aplicaNão se aplica",Mercado_Receita!$N$2:$N$298)</f>
        <v>725.81900000000007</v>
      </c>
      <c r="R7" s="14">
        <f>SUMIF(Mercado_Receita!$T$2:$T$298,"44562B1Energia convencionalResidencialResidencialNão se aplicaNão se aplicaNão se aplica",Mercado_Receita!$N$2:$N$298)</f>
        <v>798.08500000000004</v>
      </c>
      <c r="S7" s="14">
        <f>SUMIF(Mercado_Receita!$T$2:$T$298,"44593B1Energia convencionalResidencialResidencialNão se aplicaNão se aplicaNão se aplica",Mercado_Receita!$N$2:$N$298)</f>
        <v>774.04200000000003</v>
      </c>
      <c r="T7" s="14">
        <f>SUMIF(Mercado_Receita!$T$2:$T$298,"44621B1Energia convencionalResidencialResidencialNão se aplicaNão se aplicaNão se aplica",Mercado_Receita!$N$2:$N$298)</f>
        <v>773.39</v>
      </c>
      <c r="U7" s="14">
        <f t="shared" si="0"/>
        <v>8666.1360000000022</v>
      </c>
      <c r="V7" s="14"/>
      <c r="W7" s="14"/>
    </row>
    <row r="8" spans="1:30" ht="11.25" customHeight="1" x14ac:dyDescent="0.3">
      <c r="A8" s="107"/>
      <c r="B8" s="107"/>
      <c r="C8" s="107"/>
      <c r="D8" s="13" t="s">
        <v>29</v>
      </c>
      <c r="E8" s="13" t="s">
        <v>25</v>
      </c>
      <c r="F8" s="13" t="s">
        <v>25</v>
      </c>
      <c r="G8" s="14" t="s">
        <v>74</v>
      </c>
      <c r="H8" s="14" t="s">
        <v>67</v>
      </c>
      <c r="I8" s="14">
        <f>SUMIF(Mercado_Receita!$T$2:$T$298,"44287B1Energia convencionalResidencialResidencial baixa renda – faixa 01Não se aplicaNão se aplicaNão se aplica",Mercado_Receita!$N$2:$N$298)</f>
        <v>1.89</v>
      </c>
      <c r="J8" s="14">
        <f>SUMIF(Mercado_Receita!$T$2:$T$298,"44317B1Energia convencionalResidencialResidencial baixa renda – faixa 01Não se aplicaNão se aplicaNão se aplica",Mercado_Receita!$N$2:$N$298)</f>
        <v>2.04</v>
      </c>
      <c r="K8" s="14">
        <f>SUMIF(Mercado_Receita!$T$2:$T$298,"44348B1Energia convencionalResidencialResidencial baixa renda – faixa 01Não se aplicaNão se aplicaNão se aplica",Mercado_Receita!$N$2:$N$298)</f>
        <v>2.16</v>
      </c>
      <c r="L8" s="14">
        <f>SUMIF(Mercado_Receita!$T$2:$T$298,"44378B1Energia convencionalResidencialResidencial baixa renda – faixa 01Não se aplicaNão se aplicaNão se aplica",Mercado_Receita!$N$2:$N$298)</f>
        <v>2.2200000000000002</v>
      </c>
      <c r="M8" s="14">
        <f>SUMIF(Mercado_Receita!$T$2:$T$298,"44409B1Energia convencionalResidencialResidencial baixa renda – faixa 01Não se aplicaNão se aplicaNão se aplica",Mercado_Receita!$N$2:$N$298)</f>
        <v>2.25</v>
      </c>
      <c r="N8" s="14">
        <f>SUMIF(Mercado_Receita!$T$2:$T$298,"44440B1Energia convencionalResidencialResidencial baixa renda – faixa 01Não se aplicaNão se aplicaNão se aplica",Mercado_Receita!$N$2:$N$298)</f>
        <v>2.34</v>
      </c>
      <c r="O8" s="14">
        <f>SUMIF(Mercado_Receita!$T$2:$T$298,"44470B1Energia convencionalResidencialResidencial baixa renda – faixa 01Não se aplicaNão se aplicaNão se aplica",Mercado_Receita!$N$2:$N$298)</f>
        <v>2.4900000000000002</v>
      </c>
      <c r="P8" s="14">
        <f>SUMIF(Mercado_Receita!$T$2:$T$298,"44501B1Energia convencionalResidencialResidencial baixa renda – faixa 01Não se aplicaNão se aplicaNão se aplica",Mercado_Receita!$N$2:$N$298)</f>
        <v>2.7</v>
      </c>
      <c r="Q8" s="14">
        <f>SUMIF(Mercado_Receita!$T$2:$T$298,"44531B1Energia convencionalResidencialResidencial baixa renda – faixa 01Não se aplicaNão se aplicaNão se aplica",Mercado_Receita!$N$2:$N$298)</f>
        <v>2.73</v>
      </c>
      <c r="R8" s="14">
        <f>SUMIF(Mercado_Receita!$T$2:$T$298,"44562B1Energia convencionalResidencialResidencial baixa renda – faixa 01Não se aplicaNão se aplicaNão se aplica",Mercado_Receita!$N$2:$N$298)</f>
        <v>2.97</v>
      </c>
      <c r="S8" s="14">
        <f>SUMIF(Mercado_Receita!$T$2:$T$298,"44593B1Energia convencionalResidencialResidencial baixa renda – faixa 01Não se aplicaNão se aplicaNão se aplica",Mercado_Receita!$N$2:$N$298)</f>
        <v>3.36</v>
      </c>
      <c r="T8" s="14">
        <f>SUMIF(Mercado_Receita!$T$2:$T$298,"44621B1Energia convencionalResidencialResidencial baixa renda – faixa 01Não se aplicaNão se aplicaNão se aplica",Mercado_Receita!$N$2:$N$298)</f>
        <v>7.62</v>
      </c>
      <c r="U8" s="14">
        <f t="shared" si="0"/>
        <v>34.769999999999996</v>
      </c>
      <c r="V8" s="14"/>
      <c r="W8" s="14"/>
    </row>
    <row r="9" spans="1:30" ht="11.25" customHeight="1" x14ac:dyDescent="0.3">
      <c r="A9" s="107"/>
      <c r="B9" s="107"/>
      <c r="C9" s="107"/>
      <c r="D9" s="13" t="s">
        <v>30</v>
      </c>
      <c r="E9" s="13" t="s">
        <v>25</v>
      </c>
      <c r="F9" s="13" t="s">
        <v>25</v>
      </c>
      <c r="G9" s="14" t="s">
        <v>74</v>
      </c>
      <c r="H9" s="14" t="s">
        <v>67</v>
      </c>
      <c r="I9" s="14">
        <f>SUMIF(Mercado_Receita!$T$2:$T$298,"44287B1Energia convencionalResidencialResidencial baixa renda – faixa 02Não se aplicaNão se aplicaNão se aplica",Mercado_Receita!$N$2:$N$298)</f>
        <v>4.13</v>
      </c>
      <c r="J9" s="14">
        <f>SUMIF(Mercado_Receita!$T$2:$T$298,"44317B1Energia convencionalResidencialResidencial baixa renda – faixa 02Não se aplicaNão se aplicaNão se aplica",Mercado_Receita!$N$2:$N$298)</f>
        <v>4.41</v>
      </c>
      <c r="K9" s="14">
        <f>SUMIF(Mercado_Receita!$T$2:$T$298,"44348B1Energia convencionalResidencialResidencial baixa renda – faixa 02Não se aplicaNão se aplicaNão se aplica",Mercado_Receita!$N$2:$N$298)</f>
        <v>4.6740000000000004</v>
      </c>
      <c r="L9" s="14">
        <f>SUMIF(Mercado_Receita!$T$2:$T$298,"44378B1Energia convencionalResidencialResidencial baixa renda – faixa 02Não se aplicaNão se aplicaNão se aplica",Mercado_Receita!$N$2:$N$298)</f>
        <v>4.6449999999999996</v>
      </c>
      <c r="M9" s="14">
        <f>SUMIF(Mercado_Receita!$T$2:$T$298,"44409B1Energia convencionalResidencialResidencial baixa renda – faixa 02Não se aplicaNão se aplicaNão se aplica",Mercado_Receita!$N$2:$N$298)</f>
        <v>4.8</v>
      </c>
      <c r="N9" s="14">
        <f>SUMIF(Mercado_Receita!$T$2:$T$298,"44440B1Energia convencionalResidencialResidencial baixa renda – faixa 02Não se aplicaNão se aplicaNão se aplica",Mercado_Receita!$N$2:$N$298)</f>
        <v>5.1890000000000001</v>
      </c>
      <c r="O9" s="14">
        <f>SUMIF(Mercado_Receita!$T$2:$T$298,"44470B1Energia convencionalResidencialResidencial baixa renda – faixa 02Não se aplicaNão se aplicaNão se aplica",Mercado_Receita!$N$2:$N$298)</f>
        <v>5.5750000000000002</v>
      </c>
      <c r="P9" s="14">
        <f>SUMIF(Mercado_Receita!$T$2:$T$298,"44501B1Energia convencionalResidencialResidencial baixa renda – faixa 02Não se aplicaNão se aplicaNão se aplica",Mercado_Receita!$N$2:$N$298)</f>
        <v>5.9130000000000003</v>
      </c>
      <c r="Q9" s="14">
        <f>SUMIF(Mercado_Receita!$T$2:$T$298,"44531B1Energia convencionalResidencialResidencial baixa renda – faixa 02Não se aplicaNão se aplicaNão se aplica",Mercado_Receita!$N$2:$N$298)</f>
        <v>6.1269999999999998</v>
      </c>
      <c r="R9" s="14">
        <f>SUMIF(Mercado_Receita!$T$2:$T$298,"44562B1Energia convencionalResidencialResidencial baixa renda – faixa 02Não se aplicaNão se aplicaNão se aplica",Mercado_Receita!$N$2:$N$298)</f>
        <v>6.6760000000000002</v>
      </c>
      <c r="S9" s="14">
        <f>SUMIF(Mercado_Receita!$T$2:$T$298,"44593B1Energia convencionalResidencialResidencial baixa renda – faixa 02Não se aplicaNão se aplicaNão se aplica",Mercado_Receita!$N$2:$N$298)</f>
        <v>7.4710000000000001</v>
      </c>
      <c r="T9" s="14">
        <f>SUMIF(Mercado_Receita!$T$2:$T$298,"44621B1Energia convencionalResidencialResidencial baixa renda – faixa 02Não se aplicaNão se aplicaNão se aplica",Mercado_Receita!$N$2:$N$298)</f>
        <v>15.465</v>
      </c>
      <c r="U9" s="14">
        <f t="shared" si="0"/>
        <v>75.075000000000003</v>
      </c>
      <c r="V9" s="14"/>
      <c r="W9" s="14"/>
    </row>
    <row r="10" spans="1:30" ht="11.25" customHeight="1" x14ac:dyDescent="0.3">
      <c r="A10" s="107"/>
      <c r="B10" s="107"/>
      <c r="C10" s="107"/>
      <c r="D10" s="13" t="s">
        <v>31</v>
      </c>
      <c r="E10" s="13" t="s">
        <v>25</v>
      </c>
      <c r="F10" s="13" t="s">
        <v>25</v>
      </c>
      <c r="G10" s="14" t="s">
        <v>74</v>
      </c>
      <c r="H10" s="14" t="s">
        <v>67</v>
      </c>
      <c r="I10" s="14">
        <f>SUMIF(Mercado_Receita!$T$2:$T$298,"44287B1Energia convencionalResidencialResidencial baixa renda – faixa 03Não se aplicaNão se aplicaNão se aplica",Mercado_Receita!$N$2:$N$298)</f>
        <v>3.9220000000000002</v>
      </c>
      <c r="J10" s="14">
        <f>SUMIF(Mercado_Receita!$T$2:$T$298,"44317B1Energia convencionalResidencialResidencial baixa renda – faixa 03Não se aplicaNão se aplicaNão se aplica",Mercado_Receita!$N$2:$N$298)</f>
        <v>3.9279999999999999</v>
      </c>
      <c r="K10" s="14">
        <f>SUMIF(Mercado_Receita!$T$2:$T$298,"44348B1Energia convencionalResidencialResidencial baixa renda – faixa 03Não se aplicaNão se aplicaNão se aplica",Mercado_Receita!$N$2:$N$298)</f>
        <v>3.9359999999999999</v>
      </c>
      <c r="L10" s="14">
        <f>SUMIF(Mercado_Receita!$T$2:$T$298,"44378B1Energia convencionalResidencialResidencial baixa renda – faixa 03Não se aplicaNão se aplicaNão se aplica",Mercado_Receita!$N$2:$N$298)</f>
        <v>3.504</v>
      </c>
      <c r="M10" s="14">
        <f>SUMIF(Mercado_Receita!$T$2:$T$298,"44409B1Energia convencionalResidencialResidencial baixa renda – faixa 03Não se aplicaNão se aplicaNão se aplica",Mercado_Receita!$N$2:$N$298)</f>
        <v>3.903</v>
      </c>
      <c r="N10" s="14">
        <f>SUMIF(Mercado_Receita!$T$2:$T$298,"44440B1Energia convencionalResidencialResidencial baixa renda – faixa 03Não se aplicaNão se aplicaNão se aplica",Mercado_Receita!$N$2:$N$298)</f>
        <v>4.8330000000000002</v>
      </c>
      <c r="O10" s="14">
        <f>SUMIF(Mercado_Receita!$T$2:$T$298,"44470B1Energia convencionalResidencialResidencial baixa renda – faixa 03Não se aplicaNão se aplicaNão se aplica",Mercado_Receita!$N$2:$N$298)</f>
        <v>4.8239999999999998</v>
      </c>
      <c r="P10" s="14">
        <f>SUMIF(Mercado_Receita!$T$2:$T$298,"44501B1Energia convencionalResidencialResidencial baixa renda – faixa 03Não se aplicaNão se aplicaNão se aplica",Mercado_Receita!$N$2:$N$298)</f>
        <v>4.6840000000000002</v>
      </c>
      <c r="Q10" s="14">
        <f>SUMIF(Mercado_Receita!$T$2:$T$298,"44531B1Energia convencionalResidencialResidencial baixa renda – faixa 03Não se aplicaNão se aplicaNão se aplica",Mercado_Receita!$N$2:$N$298)</f>
        <v>5.4330000000000007</v>
      </c>
      <c r="R10" s="14">
        <f>SUMIF(Mercado_Receita!$T$2:$T$298,"44562B1Energia convencionalResidencialResidencial baixa renda – faixa 03Não se aplicaNão se aplicaNão se aplica",Mercado_Receita!$N$2:$N$298)</f>
        <v>6.1559999999999997</v>
      </c>
      <c r="S10" s="14">
        <f>SUMIF(Mercado_Receita!$T$2:$T$298,"44593B1Energia convencionalResidencialResidencial baixa renda – faixa 03Não se aplicaNão se aplicaNão se aplica",Mercado_Receita!$N$2:$N$298)</f>
        <v>6.8220000000000001</v>
      </c>
      <c r="T10" s="14">
        <f>SUMIF(Mercado_Receita!$T$2:$T$298,"44621B1Energia convencionalResidencialResidencial baixa renda – faixa 03Não se aplicaNão se aplicaNão se aplica",Mercado_Receita!$N$2:$N$298)</f>
        <v>12.817</v>
      </c>
      <c r="U10" s="14">
        <f t="shared" si="0"/>
        <v>64.762</v>
      </c>
      <c r="V10" s="14"/>
      <c r="W10" s="14"/>
    </row>
    <row r="11" spans="1:30" ht="11.25" customHeight="1" x14ac:dyDescent="0.3">
      <c r="A11" s="107"/>
      <c r="B11" s="107"/>
      <c r="C11" s="107"/>
      <c r="D11" s="13" t="s">
        <v>32</v>
      </c>
      <c r="E11" s="13" t="s">
        <v>25</v>
      </c>
      <c r="F11" s="13" t="s">
        <v>25</v>
      </c>
      <c r="G11" s="14" t="s">
        <v>74</v>
      </c>
      <c r="H11" s="14" t="s">
        <v>67</v>
      </c>
      <c r="I11" s="14">
        <f>SUMIF(Mercado_Receita!$T$2:$T$298,"44287B1Energia convencionalResidencialResidencial baixa renda – faixa 04Não se aplicaNão se aplicaNão se aplica",Mercado_Receita!$N$2:$N$298)</f>
        <v>1.7529999999999999</v>
      </c>
      <c r="J11" s="14">
        <f>SUMIF(Mercado_Receita!$T$2:$T$298,"44317B1Energia convencionalResidencialResidencial baixa renda – faixa 04Não se aplicaNão se aplicaNão se aplica",Mercado_Receita!$N$2:$N$298)</f>
        <v>1.304</v>
      </c>
      <c r="K11" s="14">
        <f>SUMIF(Mercado_Receita!$T$2:$T$298,"44348B1Energia convencionalResidencialResidencial baixa renda – faixa 04Não se aplicaNão se aplicaNão se aplica",Mercado_Receita!$N$2:$N$298)</f>
        <v>1.218</v>
      </c>
      <c r="L11" s="14">
        <f>SUMIF(Mercado_Receita!$T$2:$T$298,"44378B1Energia convencionalResidencialResidencial baixa renda – faixa 04Não se aplicaNão se aplicaNão se aplica",Mercado_Receita!$N$2:$N$298)</f>
        <v>1.37</v>
      </c>
      <c r="M11" s="14">
        <f>SUMIF(Mercado_Receita!$T$2:$T$298,"44409B1Energia convencionalResidencialResidencial baixa renda – faixa 04Não se aplicaNão se aplicaNão se aplica",Mercado_Receita!$N$2:$N$298)</f>
        <v>1.6919999999999999</v>
      </c>
      <c r="N11" s="14">
        <f>SUMIF(Mercado_Receita!$T$2:$T$298,"44440B1Energia convencionalResidencialResidencial baixa renda – faixa 04Não se aplicaNão se aplicaNão se aplica",Mercado_Receita!$N$2:$N$298)</f>
        <v>1.6379999999999999</v>
      </c>
      <c r="O11" s="14">
        <f>SUMIF(Mercado_Receita!$T$2:$T$298,"44470B1Energia convencionalResidencialResidencial baixa renda – faixa 04Não se aplicaNão se aplicaNão se aplica",Mercado_Receita!$N$2:$N$298)</f>
        <v>1.7350000000000001</v>
      </c>
      <c r="P11" s="14">
        <f>SUMIF(Mercado_Receita!$T$2:$T$298,"44501B1Energia convencionalResidencialResidencial baixa renda – faixa 04Não se aplicaNão se aplicaNão se aplica",Mercado_Receita!$N$2:$N$298)</f>
        <v>1.452</v>
      </c>
      <c r="Q11" s="14">
        <f>SUMIF(Mercado_Receita!$T$2:$T$298,"44531B1Energia convencionalResidencialResidencial baixa renda – faixa 04Não se aplicaNão se aplicaNão se aplica",Mercado_Receita!$N$2:$N$298)</f>
        <v>1.7949999999999999</v>
      </c>
      <c r="R11" s="14">
        <f>SUMIF(Mercado_Receita!$T$2:$T$298,"44562B1Energia convencionalResidencialResidencial baixa renda – faixa 04Não se aplicaNão se aplicaNão se aplica",Mercado_Receita!$N$2:$N$298)</f>
        <v>2.1150000000000002</v>
      </c>
      <c r="S11" s="14">
        <f>SUMIF(Mercado_Receita!$T$2:$T$298,"44593B1Energia convencionalResidencialResidencial baixa renda – faixa 04Não se aplicaNão se aplicaNão se aplica",Mercado_Receita!$N$2:$N$298)</f>
        <v>2.5640000000000001</v>
      </c>
      <c r="T11" s="14">
        <f>SUMIF(Mercado_Receita!$T$2:$T$298,"44621B1Energia convencionalResidencialResidencial baixa renda – faixa 04Não se aplicaNão se aplicaNão se aplica",Mercado_Receita!$N$2:$N$298)</f>
        <v>4.2779999999999996</v>
      </c>
      <c r="U11" s="14">
        <f t="shared" si="0"/>
        <v>22.914000000000001</v>
      </c>
      <c r="V11" s="14"/>
      <c r="W11" s="14"/>
    </row>
    <row r="12" spans="1:30" ht="11.25" customHeight="1" x14ac:dyDescent="0.3">
      <c r="A12" s="107"/>
      <c r="B12" s="106" t="s">
        <v>83</v>
      </c>
      <c r="C12" s="106" t="s">
        <v>24</v>
      </c>
      <c r="D12" s="13" t="s">
        <v>24</v>
      </c>
      <c r="E12" s="13" t="s">
        <v>25</v>
      </c>
      <c r="F12" s="13" t="s">
        <v>25</v>
      </c>
      <c r="G12" s="14" t="s">
        <v>74</v>
      </c>
      <c r="H12" s="14" t="s">
        <v>67</v>
      </c>
      <c r="I12" s="14">
        <f>SUMIF(Mercado_Receita!$T$2:$T$298,"44287B1Energia convencional pré-pagamentoResidencialResidencialNão se aplicaNão se aplicaNão se aplica",Mercado_Receita!$N$2:$N$298)</f>
        <v>0</v>
      </c>
      <c r="J12" s="14">
        <f>SUMIF(Mercado_Receita!$T$2:$T$298,"44317B1Energia convencional pré-pagamentoResidencialResidencialNão se aplicaNão se aplicaNão se aplica",Mercado_Receita!$N$2:$N$298)</f>
        <v>0</v>
      </c>
      <c r="K12" s="14">
        <f>SUMIF(Mercado_Receita!$T$2:$T$298,"44348B1Energia convencional pré-pagamentoResidencialResidencialNão se aplicaNão se aplicaNão se aplica",Mercado_Receita!$N$2:$N$298)</f>
        <v>0</v>
      </c>
      <c r="L12" s="14">
        <f>SUMIF(Mercado_Receita!$T$2:$T$298,"44378B1Energia convencional pré-pagamentoResidencialResidencialNão se aplicaNão se aplicaNão se aplica",Mercado_Receita!$N$2:$N$298)</f>
        <v>0</v>
      </c>
      <c r="M12" s="14">
        <f>SUMIF(Mercado_Receita!$T$2:$T$298,"44409B1Energia convencional pré-pagamentoResidencialResidencialNão se aplicaNão se aplicaNão se aplica",Mercado_Receita!$N$2:$N$298)</f>
        <v>0</v>
      </c>
      <c r="N12" s="14">
        <f>SUMIF(Mercado_Receita!$T$2:$T$298,"44440B1Energia convencional pré-pagamentoResidencialResidencialNão se aplicaNão se aplicaNão se aplica",Mercado_Receita!$N$2:$N$298)</f>
        <v>0</v>
      </c>
      <c r="O12" s="14">
        <f>SUMIF(Mercado_Receita!$T$2:$T$298,"44470B1Energia convencional pré-pagamentoResidencialResidencialNão se aplicaNão se aplicaNão se aplica",Mercado_Receita!$N$2:$N$298)</f>
        <v>0</v>
      </c>
      <c r="P12" s="14">
        <f>SUMIF(Mercado_Receita!$T$2:$T$298,"44501B1Energia convencional pré-pagamentoResidencialResidencialNão se aplicaNão se aplicaNão se aplica",Mercado_Receita!$N$2:$N$298)</f>
        <v>0</v>
      </c>
      <c r="Q12" s="14">
        <f>SUMIF(Mercado_Receita!$T$2:$T$298,"44531B1Energia convencional pré-pagamentoResidencialResidencialNão se aplicaNão se aplicaNão se aplica",Mercado_Receita!$N$2:$N$298)</f>
        <v>0</v>
      </c>
      <c r="R12" s="14">
        <f>SUMIF(Mercado_Receita!$T$2:$T$298,"44562B1Energia convencional pré-pagamentoResidencialResidencialNão se aplicaNão se aplicaNão se aplica",Mercado_Receita!$N$2:$N$298)</f>
        <v>0</v>
      </c>
      <c r="S12" s="14">
        <f>SUMIF(Mercado_Receita!$T$2:$T$298,"44593B1Energia convencional pré-pagamentoResidencialResidencialNão se aplicaNão se aplicaNão se aplica",Mercado_Receita!$N$2:$N$298)</f>
        <v>0</v>
      </c>
      <c r="T12" s="14">
        <f>SUMIF(Mercado_Receita!$T$2:$T$298,"44621B1Energia convencional pré-pagamentoResidencialResidencialNão se aplicaNão se aplicaNão se aplica",Mercado_Receita!$N$2:$N$298)</f>
        <v>0</v>
      </c>
      <c r="U12" s="14">
        <f t="shared" si="0"/>
        <v>0</v>
      </c>
      <c r="V12" s="14"/>
      <c r="W12" s="14"/>
    </row>
    <row r="13" spans="1:30" ht="11.25" customHeight="1" x14ac:dyDescent="0.3">
      <c r="A13" s="107"/>
      <c r="B13" s="107"/>
      <c r="C13" s="107"/>
      <c r="D13" s="13" t="s">
        <v>29</v>
      </c>
      <c r="E13" s="13" t="s">
        <v>25</v>
      </c>
      <c r="F13" s="13" t="s">
        <v>25</v>
      </c>
      <c r="G13" s="14" t="s">
        <v>74</v>
      </c>
      <c r="H13" s="14" t="s">
        <v>67</v>
      </c>
      <c r="I13" s="14">
        <f>SUMIF(Mercado_Receita!$T$2:$T$298,"44287B1Energia convencional pré-pagamentoResidencialResidencial baixa renda – faixa 01Não se aplicaNão se aplicaNão se aplica",Mercado_Receita!$N$2:$N$298)</f>
        <v>0</v>
      </c>
      <c r="J13" s="14">
        <f>SUMIF(Mercado_Receita!$T$2:$T$298,"44317B1Energia convencional pré-pagamentoResidencialResidencial baixa renda – faixa 01Não se aplicaNão se aplicaNão se aplica",Mercado_Receita!$N$2:$N$298)</f>
        <v>0</v>
      </c>
      <c r="K13" s="14">
        <f>SUMIF(Mercado_Receita!$T$2:$T$298,"44348B1Energia convencional pré-pagamentoResidencialResidencial baixa renda – faixa 01Não se aplicaNão se aplicaNão se aplica",Mercado_Receita!$N$2:$N$298)</f>
        <v>0</v>
      </c>
      <c r="L13" s="14">
        <f>SUMIF(Mercado_Receita!$T$2:$T$298,"44378B1Energia convencional pré-pagamentoResidencialResidencial baixa renda – faixa 01Não se aplicaNão se aplicaNão se aplica",Mercado_Receita!$N$2:$N$298)</f>
        <v>0</v>
      </c>
      <c r="M13" s="14">
        <f>SUMIF(Mercado_Receita!$T$2:$T$298,"44409B1Energia convencional pré-pagamentoResidencialResidencial baixa renda – faixa 01Não se aplicaNão se aplicaNão se aplica",Mercado_Receita!$N$2:$N$298)</f>
        <v>0</v>
      </c>
      <c r="N13" s="14">
        <f>SUMIF(Mercado_Receita!$T$2:$T$298,"44440B1Energia convencional pré-pagamentoResidencialResidencial baixa renda – faixa 01Não se aplicaNão se aplicaNão se aplica",Mercado_Receita!$N$2:$N$298)</f>
        <v>0</v>
      </c>
      <c r="O13" s="14">
        <f>SUMIF(Mercado_Receita!$T$2:$T$298,"44470B1Energia convencional pré-pagamentoResidencialResidencial baixa renda – faixa 01Não se aplicaNão se aplicaNão se aplica",Mercado_Receita!$N$2:$N$298)</f>
        <v>0</v>
      </c>
      <c r="P13" s="14">
        <f>SUMIF(Mercado_Receita!$T$2:$T$298,"44501B1Energia convencional pré-pagamentoResidencialResidencial baixa renda – faixa 01Não se aplicaNão se aplicaNão se aplica",Mercado_Receita!$N$2:$N$298)</f>
        <v>0</v>
      </c>
      <c r="Q13" s="14">
        <f>SUMIF(Mercado_Receita!$T$2:$T$298,"44531B1Energia convencional pré-pagamentoResidencialResidencial baixa renda – faixa 01Não se aplicaNão se aplicaNão se aplica",Mercado_Receita!$N$2:$N$298)</f>
        <v>0</v>
      </c>
      <c r="R13" s="14">
        <f>SUMIF(Mercado_Receita!$T$2:$T$298,"44562B1Energia convencional pré-pagamentoResidencialResidencial baixa renda – faixa 01Não se aplicaNão se aplicaNão se aplica",Mercado_Receita!$N$2:$N$298)</f>
        <v>0</v>
      </c>
      <c r="S13" s="14">
        <f>SUMIF(Mercado_Receita!$T$2:$T$298,"44593B1Energia convencional pré-pagamentoResidencialResidencial baixa renda – faixa 01Não se aplicaNão se aplicaNão se aplica",Mercado_Receita!$N$2:$N$298)</f>
        <v>0</v>
      </c>
      <c r="T13" s="14">
        <f>SUMIF(Mercado_Receita!$T$2:$T$298,"44621B1Energia convencional pré-pagamentoResidencialResidencial baixa renda – faixa 01Não se aplicaNão se aplicaNão se aplica",Mercado_Receita!$N$2:$N$298)</f>
        <v>0</v>
      </c>
      <c r="U13" s="14">
        <f t="shared" si="0"/>
        <v>0</v>
      </c>
      <c r="V13" s="14"/>
      <c r="W13" s="14"/>
    </row>
    <row r="14" spans="1:30" ht="11.25" customHeight="1" x14ac:dyDescent="0.3">
      <c r="A14" s="107"/>
      <c r="B14" s="107"/>
      <c r="C14" s="107"/>
      <c r="D14" s="13" t="s">
        <v>30</v>
      </c>
      <c r="E14" s="13" t="s">
        <v>25</v>
      </c>
      <c r="F14" s="13" t="s">
        <v>25</v>
      </c>
      <c r="G14" s="14" t="s">
        <v>74</v>
      </c>
      <c r="H14" s="14" t="s">
        <v>67</v>
      </c>
      <c r="I14" s="14">
        <f>SUMIF(Mercado_Receita!$T$2:$T$298,"44287B1Energia convencional pré-pagamentoResidencialResidencial baixa renda – faixa 02Não se aplicaNão se aplicaNão se aplica",Mercado_Receita!$N$2:$N$298)</f>
        <v>0</v>
      </c>
      <c r="J14" s="14">
        <f>SUMIF(Mercado_Receita!$T$2:$T$298,"44317B1Energia convencional pré-pagamentoResidencialResidencial baixa renda – faixa 02Não se aplicaNão se aplicaNão se aplica",Mercado_Receita!$N$2:$N$298)</f>
        <v>0</v>
      </c>
      <c r="K14" s="14">
        <f>SUMIF(Mercado_Receita!$T$2:$T$298,"44348B1Energia convencional pré-pagamentoResidencialResidencial baixa renda – faixa 02Não se aplicaNão se aplicaNão se aplica",Mercado_Receita!$N$2:$N$298)</f>
        <v>0</v>
      </c>
      <c r="L14" s="14">
        <f>SUMIF(Mercado_Receita!$T$2:$T$298,"44378B1Energia convencional pré-pagamentoResidencialResidencial baixa renda – faixa 02Não se aplicaNão se aplicaNão se aplica",Mercado_Receita!$N$2:$N$298)</f>
        <v>0</v>
      </c>
      <c r="M14" s="14">
        <f>SUMIF(Mercado_Receita!$T$2:$T$298,"44409B1Energia convencional pré-pagamentoResidencialResidencial baixa renda – faixa 02Não se aplicaNão se aplicaNão se aplica",Mercado_Receita!$N$2:$N$298)</f>
        <v>0</v>
      </c>
      <c r="N14" s="14">
        <f>SUMIF(Mercado_Receita!$T$2:$T$298,"44440B1Energia convencional pré-pagamentoResidencialResidencial baixa renda – faixa 02Não se aplicaNão se aplicaNão se aplica",Mercado_Receita!$N$2:$N$298)</f>
        <v>0</v>
      </c>
      <c r="O14" s="14">
        <f>SUMIF(Mercado_Receita!$T$2:$T$298,"44470B1Energia convencional pré-pagamentoResidencialResidencial baixa renda – faixa 02Não se aplicaNão se aplicaNão se aplica",Mercado_Receita!$N$2:$N$298)</f>
        <v>0</v>
      </c>
      <c r="P14" s="14">
        <f>SUMIF(Mercado_Receita!$T$2:$T$298,"44501B1Energia convencional pré-pagamentoResidencialResidencial baixa renda – faixa 02Não se aplicaNão se aplicaNão se aplica",Mercado_Receita!$N$2:$N$298)</f>
        <v>0</v>
      </c>
      <c r="Q14" s="14">
        <f>SUMIF(Mercado_Receita!$T$2:$T$298,"44531B1Energia convencional pré-pagamentoResidencialResidencial baixa renda – faixa 02Não se aplicaNão se aplicaNão se aplica",Mercado_Receita!$N$2:$N$298)</f>
        <v>0</v>
      </c>
      <c r="R14" s="14">
        <f>SUMIF(Mercado_Receita!$T$2:$T$298,"44562B1Energia convencional pré-pagamentoResidencialResidencial baixa renda – faixa 02Não se aplicaNão se aplicaNão se aplica",Mercado_Receita!$N$2:$N$298)</f>
        <v>0</v>
      </c>
      <c r="S14" s="14">
        <f>SUMIF(Mercado_Receita!$T$2:$T$298,"44593B1Energia convencional pré-pagamentoResidencialResidencial baixa renda – faixa 02Não se aplicaNão se aplicaNão se aplica",Mercado_Receita!$N$2:$N$298)</f>
        <v>0</v>
      </c>
      <c r="T14" s="14">
        <f>SUMIF(Mercado_Receita!$T$2:$T$298,"44621B1Energia convencional pré-pagamentoResidencialResidencial baixa renda – faixa 02Não se aplicaNão se aplicaNão se aplica",Mercado_Receita!$N$2:$N$298)</f>
        <v>0</v>
      </c>
      <c r="U14" s="14">
        <f t="shared" si="0"/>
        <v>0</v>
      </c>
      <c r="V14" s="14"/>
      <c r="W14" s="14"/>
    </row>
    <row r="15" spans="1:30" ht="11.25" customHeight="1" x14ac:dyDescent="0.3">
      <c r="A15" s="107"/>
      <c r="B15" s="107"/>
      <c r="C15" s="107"/>
      <c r="D15" s="13" t="s">
        <v>31</v>
      </c>
      <c r="E15" s="13" t="s">
        <v>25</v>
      </c>
      <c r="F15" s="13" t="s">
        <v>25</v>
      </c>
      <c r="G15" s="14" t="s">
        <v>74</v>
      </c>
      <c r="H15" s="14" t="s">
        <v>67</v>
      </c>
      <c r="I15" s="14">
        <f>SUMIF(Mercado_Receita!$T$2:$T$298,"44287B1Energia convencional pré-pagamentoResidencialResidencial baixa renda – faixa 03Não se aplicaNão se aplicaNão se aplica",Mercado_Receita!$N$2:$N$298)</f>
        <v>0</v>
      </c>
      <c r="J15" s="14">
        <f>SUMIF(Mercado_Receita!$T$2:$T$298,"44317B1Energia convencional pré-pagamentoResidencialResidencial baixa renda – faixa 03Não se aplicaNão se aplicaNão se aplica",Mercado_Receita!$N$2:$N$298)</f>
        <v>0</v>
      </c>
      <c r="K15" s="14">
        <f>SUMIF(Mercado_Receita!$T$2:$T$298,"44348B1Energia convencional pré-pagamentoResidencialResidencial baixa renda – faixa 03Não se aplicaNão se aplicaNão se aplica",Mercado_Receita!$N$2:$N$298)</f>
        <v>0</v>
      </c>
      <c r="L15" s="14">
        <f>SUMIF(Mercado_Receita!$T$2:$T$298,"44378B1Energia convencional pré-pagamentoResidencialResidencial baixa renda – faixa 03Não se aplicaNão se aplicaNão se aplica",Mercado_Receita!$N$2:$N$298)</f>
        <v>0</v>
      </c>
      <c r="M15" s="14">
        <f>SUMIF(Mercado_Receita!$T$2:$T$298,"44409B1Energia convencional pré-pagamentoResidencialResidencial baixa renda – faixa 03Não se aplicaNão se aplicaNão se aplica",Mercado_Receita!$N$2:$N$298)</f>
        <v>0</v>
      </c>
      <c r="N15" s="14">
        <f>SUMIF(Mercado_Receita!$T$2:$T$298,"44440B1Energia convencional pré-pagamentoResidencialResidencial baixa renda – faixa 03Não se aplicaNão se aplicaNão se aplica",Mercado_Receita!$N$2:$N$298)</f>
        <v>0</v>
      </c>
      <c r="O15" s="14">
        <f>SUMIF(Mercado_Receita!$T$2:$T$298,"44470B1Energia convencional pré-pagamentoResidencialResidencial baixa renda – faixa 03Não se aplicaNão se aplicaNão se aplica",Mercado_Receita!$N$2:$N$298)</f>
        <v>0</v>
      </c>
      <c r="P15" s="14">
        <f>SUMIF(Mercado_Receita!$T$2:$T$298,"44501B1Energia convencional pré-pagamentoResidencialResidencial baixa renda – faixa 03Não se aplicaNão se aplicaNão se aplica",Mercado_Receita!$N$2:$N$298)</f>
        <v>0</v>
      </c>
      <c r="Q15" s="14">
        <f>SUMIF(Mercado_Receita!$T$2:$T$298,"44531B1Energia convencional pré-pagamentoResidencialResidencial baixa renda – faixa 03Não se aplicaNão se aplicaNão se aplica",Mercado_Receita!$N$2:$N$298)</f>
        <v>0</v>
      </c>
      <c r="R15" s="14">
        <f>SUMIF(Mercado_Receita!$T$2:$T$298,"44562B1Energia convencional pré-pagamentoResidencialResidencial baixa renda – faixa 03Não se aplicaNão se aplicaNão se aplica",Mercado_Receita!$N$2:$N$298)</f>
        <v>0</v>
      </c>
      <c r="S15" s="14">
        <f>SUMIF(Mercado_Receita!$T$2:$T$298,"44593B1Energia convencional pré-pagamentoResidencialResidencial baixa renda – faixa 03Não se aplicaNão se aplicaNão se aplica",Mercado_Receita!$N$2:$N$298)</f>
        <v>0</v>
      </c>
      <c r="T15" s="14">
        <f>SUMIF(Mercado_Receita!$T$2:$T$298,"44621B1Energia convencional pré-pagamentoResidencialResidencial baixa renda – faixa 03Não se aplicaNão se aplicaNão se aplica",Mercado_Receita!$N$2:$N$298)</f>
        <v>0</v>
      </c>
      <c r="U15" s="14">
        <f t="shared" si="0"/>
        <v>0</v>
      </c>
      <c r="V15" s="14"/>
      <c r="W15" s="14"/>
    </row>
    <row r="16" spans="1:30" ht="11.25" customHeight="1" x14ac:dyDescent="0.3">
      <c r="A16" s="107"/>
      <c r="B16" s="107"/>
      <c r="C16" s="107"/>
      <c r="D16" s="13" t="s">
        <v>32</v>
      </c>
      <c r="E16" s="13" t="s">
        <v>25</v>
      </c>
      <c r="F16" s="13" t="s">
        <v>25</v>
      </c>
      <c r="G16" s="14" t="s">
        <v>74</v>
      </c>
      <c r="H16" s="14" t="s">
        <v>67</v>
      </c>
      <c r="I16" s="14">
        <f>SUMIF(Mercado_Receita!$T$2:$T$298,"44287B1Energia convencional pré-pagamentoResidencialResidencial baixa renda – faixa 04Não se aplicaNão se aplicaNão se aplica",Mercado_Receita!$N$2:$N$298)</f>
        <v>0</v>
      </c>
      <c r="J16" s="14">
        <f>SUMIF(Mercado_Receita!$T$2:$T$298,"44317B1Energia convencional pré-pagamentoResidencialResidencial baixa renda – faixa 04Não se aplicaNão se aplicaNão se aplica",Mercado_Receita!$N$2:$N$298)</f>
        <v>0</v>
      </c>
      <c r="K16" s="14">
        <f>SUMIF(Mercado_Receita!$T$2:$T$298,"44348B1Energia convencional pré-pagamentoResidencialResidencial baixa renda – faixa 04Não se aplicaNão se aplicaNão se aplica",Mercado_Receita!$N$2:$N$298)</f>
        <v>0</v>
      </c>
      <c r="L16" s="14">
        <f>SUMIF(Mercado_Receita!$T$2:$T$298,"44378B1Energia convencional pré-pagamentoResidencialResidencial baixa renda – faixa 04Não se aplicaNão se aplicaNão se aplica",Mercado_Receita!$N$2:$N$298)</f>
        <v>0</v>
      </c>
      <c r="M16" s="14">
        <f>SUMIF(Mercado_Receita!$T$2:$T$298,"44409B1Energia convencional pré-pagamentoResidencialResidencial baixa renda – faixa 04Não se aplicaNão se aplicaNão se aplica",Mercado_Receita!$N$2:$N$298)</f>
        <v>0</v>
      </c>
      <c r="N16" s="14">
        <f>SUMIF(Mercado_Receita!$T$2:$T$298,"44440B1Energia convencional pré-pagamentoResidencialResidencial baixa renda – faixa 04Não se aplicaNão se aplicaNão se aplica",Mercado_Receita!$N$2:$N$298)</f>
        <v>0</v>
      </c>
      <c r="O16" s="14">
        <f>SUMIF(Mercado_Receita!$T$2:$T$298,"44470B1Energia convencional pré-pagamentoResidencialResidencial baixa renda – faixa 04Não se aplicaNão se aplicaNão se aplica",Mercado_Receita!$N$2:$N$298)</f>
        <v>0</v>
      </c>
      <c r="P16" s="14">
        <f>SUMIF(Mercado_Receita!$T$2:$T$298,"44501B1Energia convencional pré-pagamentoResidencialResidencial baixa renda – faixa 04Não se aplicaNão se aplicaNão se aplica",Mercado_Receita!$N$2:$N$298)</f>
        <v>0</v>
      </c>
      <c r="Q16" s="14">
        <f>SUMIF(Mercado_Receita!$T$2:$T$298,"44531B1Energia convencional pré-pagamentoResidencialResidencial baixa renda – faixa 04Não se aplicaNão se aplicaNão se aplica",Mercado_Receita!$N$2:$N$298)</f>
        <v>0</v>
      </c>
      <c r="R16" s="14">
        <f>SUMIF(Mercado_Receita!$T$2:$T$298,"44562B1Energia convencional pré-pagamentoResidencialResidencial baixa renda – faixa 04Não se aplicaNão se aplicaNão se aplica",Mercado_Receita!$N$2:$N$298)</f>
        <v>0</v>
      </c>
      <c r="S16" s="14">
        <f>SUMIF(Mercado_Receita!$T$2:$T$298,"44593B1Energia convencional pré-pagamentoResidencialResidencial baixa renda – faixa 04Não se aplicaNão se aplicaNão se aplica",Mercado_Receita!$N$2:$N$298)</f>
        <v>0</v>
      </c>
      <c r="T16" s="14">
        <f>SUMIF(Mercado_Receita!$T$2:$T$298,"44621B1Energia convencional pré-pagamentoResidencialResidencial baixa renda – faixa 04Não se aplicaNão se aplicaNão se aplica",Mercado_Receita!$N$2:$N$298)</f>
        <v>0</v>
      </c>
      <c r="U16" s="14">
        <f t="shared" si="0"/>
        <v>0</v>
      </c>
      <c r="V16" s="14"/>
      <c r="W16" s="14"/>
    </row>
    <row r="17" spans="1:23" ht="11.25" customHeight="1" x14ac:dyDescent="0.3">
      <c r="A17" s="106" t="s">
        <v>40</v>
      </c>
      <c r="B17" s="106" t="s">
        <v>66</v>
      </c>
      <c r="C17" s="106" t="s">
        <v>41</v>
      </c>
      <c r="D17" s="106" t="s">
        <v>25</v>
      </c>
      <c r="E17" s="106" t="s">
        <v>25</v>
      </c>
      <c r="F17" s="106" t="s">
        <v>25</v>
      </c>
      <c r="G17" s="14" t="s">
        <v>68</v>
      </c>
      <c r="H17" s="14" t="s">
        <v>67</v>
      </c>
      <c r="I17" s="14">
        <f>SUMIF(Mercado_Receita!$T$2:$T$298,"44287B2Energia horáriaRuralNão se aplicaNão se aplicaNão se aplicaPonta",Mercado_Receita!$N$2:$N$298)</f>
        <v>0</v>
      </c>
      <c r="J17" s="14">
        <f>SUMIF(Mercado_Receita!$T$2:$T$298,"44317B2Energia horáriaRuralNão se aplicaNão se aplicaNão se aplicaPonta",Mercado_Receita!$N$2:$N$298)</f>
        <v>0</v>
      </c>
      <c r="K17" s="14">
        <f>SUMIF(Mercado_Receita!$T$2:$T$298,"44348B2Energia horáriaRuralNão se aplicaNão se aplicaNão se aplicaPonta",Mercado_Receita!$N$2:$N$298)</f>
        <v>0</v>
      </c>
      <c r="L17" s="14">
        <f>SUMIF(Mercado_Receita!$T$2:$T$298,"44378B2Energia horáriaRuralNão se aplicaNão se aplicaNão se aplicaPonta",Mercado_Receita!$N$2:$N$298)</f>
        <v>0</v>
      </c>
      <c r="M17" s="14">
        <f>SUMIF(Mercado_Receita!$T$2:$T$298,"44409B2Energia horáriaRuralNão se aplicaNão se aplicaNão se aplicaPonta",Mercado_Receita!$N$2:$N$298)</f>
        <v>0</v>
      </c>
      <c r="N17" s="14">
        <f>SUMIF(Mercado_Receita!$T$2:$T$298,"44440B2Energia horáriaRuralNão se aplicaNão se aplicaNão se aplicaPonta",Mercado_Receita!$N$2:$N$298)</f>
        <v>0</v>
      </c>
      <c r="O17" s="14">
        <f>SUMIF(Mercado_Receita!$T$2:$T$298,"44470B2Energia horáriaRuralNão se aplicaNão se aplicaNão se aplicaPonta",Mercado_Receita!$N$2:$N$298)</f>
        <v>0</v>
      </c>
      <c r="P17" s="14">
        <f>SUMIF(Mercado_Receita!$T$2:$T$298,"44501B2Energia horáriaRuralNão se aplicaNão se aplicaNão se aplicaPonta",Mercado_Receita!$N$2:$N$298)</f>
        <v>0</v>
      </c>
      <c r="Q17" s="14">
        <f>SUMIF(Mercado_Receita!$T$2:$T$298,"44531B2Energia horáriaRuralNão se aplicaNão se aplicaNão se aplicaPonta",Mercado_Receita!$N$2:$N$298)</f>
        <v>0</v>
      </c>
      <c r="R17" s="14">
        <f>SUMIF(Mercado_Receita!$T$2:$T$298,"44562B2Energia horáriaRuralNão se aplicaNão se aplicaNão se aplicaPonta",Mercado_Receita!$N$2:$N$298)</f>
        <v>0</v>
      </c>
      <c r="S17" s="14">
        <f>SUMIF(Mercado_Receita!$T$2:$T$298,"44593B2Energia horáriaRuralNão se aplicaNão se aplicaNão se aplicaPonta",Mercado_Receita!$N$2:$N$298)</f>
        <v>0</v>
      </c>
      <c r="T17" s="14">
        <f>SUMIF(Mercado_Receita!$T$2:$T$298,"44621B2Energia horáriaRuralNão se aplicaNão se aplicaNão se aplicaPonta",Mercado_Receita!$N$2:$N$298)</f>
        <v>0</v>
      </c>
      <c r="U17" s="14">
        <f t="shared" si="0"/>
        <v>0</v>
      </c>
      <c r="V17" s="14"/>
      <c r="W17" s="14"/>
    </row>
    <row r="18" spans="1:23" ht="11.25" customHeight="1" x14ac:dyDescent="0.3">
      <c r="A18" s="107"/>
      <c r="B18" s="107"/>
      <c r="C18" s="107"/>
      <c r="D18" s="107"/>
      <c r="E18" s="107"/>
      <c r="F18" s="107"/>
      <c r="G18" s="14" t="s">
        <v>80</v>
      </c>
      <c r="H18" s="14" t="s">
        <v>67</v>
      </c>
      <c r="I18" s="14">
        <f>SUMIF(Mercado_Receita!$T$2:$T$298,"44287B2Energia horáriaRuralNão se aplicaNão se aplicaNão se aplicaIntermediário",Mercado_Receita!$N$2:$N$298)</f>
        <v>0</v>
      </c>
      <c r="J18" s="14">
        <f>SUMIF(Mercado_Receita!$T$2:$T$298,"44317B2Energia horáriaRuralNão se aplicaNão se aplicaNão se aplicaIntermediário",Mercado_Receita!$N$2:$N$298)</f>
        <v>0</v>
      </c>
      <c r="K18" s="14">
        <f>SUMIF(Mercado_Receita!$T$2:$T$298,"44348B2Energia horáriaRuralNão se aplicaNão se aplicaNão se aplicaIntermediário",Mercado_Receita!$N$2:$N$298)</f>
        <v>0</v>
      </c>
      <c r="L18" s="14">
        <f>SUMIF(Mercado_Receita!$T$2:$T$298,"44378B2Energia horáriaRuralNão se aplicaNão se aplicaNão se aplicaIntermediário",Mercado_Receita!$N$2:$N$298)</f>
        <v>0</v>
      </c>
      <c r="M18" s="14">
        <f>SUMIF(Mercado_Receita!$T$2:$T$298,"44409B2Energia horáriaRuralNão se aplicaNão se aplicaNão se aplicaIntermediário",Mercado_Receita!$N$2:$N$298)</f>
        <v>0</v>
      </c>
      <c r="N18" s="14">
        <f>SUMIF(Mercado_Receita!$T$2:$T$298,"44440B2Energia horáriaRuralNão se aplicaNão se aplicaNão se aplicaIntermediário",Mercado_Receita!$N$2:$N$298)</f>
        <v>0</v>
      </c>
      <c r="O18" s="14">
        <f>SUMIF(Mercado_Receita!$T$2:$T$298,"44470B2Energia horáriaRuralNão se aplicaNão se aplicaNão se aplicaIntermediário",Mercado_Receita!$N$2:$N$298)</f>
        <v>0</v>
      </c>
      <c r="P18" s="14">
        <f>SUMIF(Mercado_Receita!$T$2:$T$298,"44501B2Energia horáriaRuralNão se aplicaNão se aplicaNão se aplicaIntermediário",Mercado_Receita!$N$2:$N$298)</f>
        <v>0</v>
      </c>
      <c r="Q18" s="14">
        <f>SUMIF(Mercado_Receita!$T$2:$T$298,"44531B2Energia horáriaRuralNão se aplicaNão se aplicaNão se aplicaIntermediário",Mercado_Receita!$N$2:$N$298)</f>
        <v>0</v>
      </c>
      <c r="R18" s="14">
        <f>SUMIF(Mercado_Receita!$T$2:$T$298,"44562B2Energia horáriaRuralNão se aplicaNão se aplicaNão se aplicaIntermediário",Mercado_Receita!$N$2:$N$298)</f>
        <v>0</v>
      </c>
      <c r="S18" s="14">
        <f>SUMIF(Mercado_Receita!$T$2:$T$298,"44593B2Energia horáriaRuralNão se aplicaNão se aplicaNão se aplicaIntermediário",Mercado_Receita!$N$2:$N$298)</f>
        <v>0</v>
      </c>
      <c r="T18" s="14">
        <f>SUMIF(Mercado_Receita!$T$2:$T$298,"44621B2Energia horáriaRuralNão se aplicaNão se aplicaNão se aplicaIntermediário",Mercado_Receita!$N$2:$N$298)</f>
        <v>0</v>
      </c>
      <c r="U18" s="14">
        <f t="shared" si="0"/>
        <v>0</v>
      </c>
      <c r="V18" s="14"/>
      <c r="W18" s="14"/>
    </row>
    <row r="19" spans="1:23" ht="11.25" customHeight="1" x14ac:dyDescent="0.3">
      <c r="A19" s="107"/>
      <c r="B19" s="107"/>
      <c r="C19" s="107"/>
      <c r="D19" s="107"/>
      <c r="E19" s="107"/>
      <c r="F19" s="107"/>
      <c r="G19" s="14" t="s">
        <v>69</v>
      </c>
      <c r="H19" s="14" t="s">
        <v>67</v>
      </c>
      <c r="I19" s="14">
        <f>SUMIF(Mercado_Receita!$T$2:$T$298,"44287B2Energia horáriaRuralNão se aplicaNão se aplicaNão se aplicaFora ponta",Mercado_Receita!$N$2:$N$298)</f>
        <v>0</v>
      </c>
      <c r="J19" s="14">
        <f>SUMIF(Mercado_Receita!$T$2:$T$298,"44317B2Energia horáriaRuralNão se aplicaNão se aplicaNão se aplicaFora ponta",Mercado_Receita!$N$2:$N$298)</f>
        <v>0</v>
      </c>
      <c r="K19" s="14">
        <f>SUMIF(Mercado_Receita!$T$2:$T$298,"44348B2Energia horáriaRuralNão se aplicaNão se aplicaNão se aplicaFora ponta",Mercado_Receita!$N$2:$N$298)</f>
        <v>0</v>
      </c>
      <c r="L19" s="14">
        <f>SUMIF(Mercado_Receita!$T$2:$T$298,"44378B2Energia horáriaRuralNão se aplicaNão se aplicaNão se aplicaFora ponta",Mercado_Receita!$N$2:$N$298)</f>
        <v>0</v>
      </c>
      <c r="M19" s="14">
        <f>SUMIF(Mercado_Receita!$T$2:$T$298,"44409B2Energia horáriaRuralNão se aplicaNão se aplicaNão se aplicaFora ponta",Mercado_Receita!$N$2:$N$298)</f>
        <v>0</v>
      </c>
      <c r="N19" s="14">
        <f>SUMIF(Mercado_Receita!$T$2:$T$298,"44440B2Energia horáriaRuralNão se aplicaNão se aplicaNão se aplicaFora ponta",Mercado_Receita!$N$2:$N$298)</f>
        <v>0</v>
      </c>
      <c r="O19" s="14">
        <f>SUMIF(Mercado_Receita!$T$2:$T$298,"44470B2Energia horáriaRuralNão se aplicaNão se aplicaNão se aplicaFora ponta",Mercado_Receita!$N$2:$N$298)</f>
        <v>0</v>
      </c>
      <c r="P19" s="14">
        <f>SUMIF(Mercado_Receita!$T$2:$T$298,"44501B2Energia horáriaRuralNão se aplicaNão se aplicaNão se aplicaFora ponta",Mercado_Receita!$N$2:$N$298)</f>
        <v>0</v>
      </c>
      <c r="Q19" s="14">
        <f>SUMIF(Mercado_Receita!$T$2:$T$298,"44531B2Energia horáriaRuralNão se aplicaNão se aplicaNão se aplicaFora ponta",Mercado_Receita!$N$2:$N$298)</f>
        <v>0</v>
      </c>
      <c r="R19" s="14">
        <f>SUMIF(Mercado_Receita!$T$2:$T$298,"44562B2Energia horáriaRuralNão se aplicaNão se aplicaNão se aplicaFora ponta",Mercado_Receita!$N$2:$N$298)</f>
        <v>0</v>
      </c>
      <c r="S19" s="14">
        <f>SUMIF(Mercado_Receita!$T$2:$T$298,"44593B2Energia horáriaRuralNão se aplicaNão se aplicaNão se aplicaFora ponta",Mercado_Receita!$N$2:$N$298)</f>
        <v>0</v>
      </c>
      <c r="T19" s="14">
        <f>SUMIF(Mercado_Receita!$T$2:$T$298,"44621B2Energia horáriaRuralNão se aplicaNão se aplicaNão se aplicaFora ponta",Mercado_Receita!$N$2:$N$298)</f>
        <v>0</v>
      </c>
      <c r="U19" s="14">
        <f t="shared" si="0"/>
        <v>0</v>
      </c>
      <c r="V19" s="14"/>
      <c r="W19" s="14"/>
    </row>
    <row r="20" spans="1:23" ht="11.25" customHeight="1" x14ac:dyDescent="0.3">
      <c r="A20" s="107"/>
      <c r="B20" s="13" t="s">
        <v>81</v>
      </c>
      <c r="C20" s="13" t="s">
        <v>41</v>
      </c>
      <c r="D20" s="13" t="s">
        <v>25</v>
      </c>
      <c r="E20" s="13" t="s">
        <v>25</v>
      </c>
      <c r="F20" s="13" t="s">
        <v>25</v>
      </c>
      <c r="G20" s="14" t="s">
        <v>74</v>
      </c>
      <c r="H20" s="14" t="s">
        <v>67</v>
      </c>
      <c r="I20" s="14">
        <f>SUMIF(Mercado_Receita!$T$2:$T$298,"44287B2Energia convencionalRuralNão se aplicaNão se aplicaNão se aplicaNão se aplica",Mercado_Receita!$N$2:$N$298)</f>
        <v>126.39599999999999</v>
      </c>
      <c r="J20" s="14">
        <f>SUMIF(Mercado_Receita!$T$2:$T$298,"44317B2Energia convencionalRuralNão se aplicaNão se aplicaNão se aplicaNão se aplica",Mercado_Receita!$N$2:$N$298)</f>
        <v>124.41700000000002</v>
      </c>
      <c r="K20" s="14">
        <f>SUMIF(Mercado_Receita!$T$2:$T$298,"44348B2Energia convencionalRuralNão se aplicaNão se aplicaNão se aplicaNão se aplica",Mercado_Receita!$N$2:$N$298)</f>
        <v>129.48599999999999</v>
      </c>
      <c r="L20" s="14">
        <f>SUMIF(Mercado_Receita!$T$2:$T$298,"44378B2Energia convencionalRuralNão se aplicaNão se aplicaNão se aplicaNão se aplica",Mercado_Receita!$N$2:$N$298)</f>
        <v>118.52399999999999</v>
      </c>
      <c r="M20" s="14">
        <f>SUMIF(Mercado_Receita!$T$2:$T$298,"44409B2Energia convencionalRuralNão se aplicaNão se aplicaNão se aplicaNão se aplica",Mercado_Receita!$N$2:$N$298)</f>
        <v>122.387</v>
      </c>
      <c r="N20" s="14">
        <f>SUMIF(Mercado_Receita!$T$2:$T$298,"44440B2Energia convencionalRuralNão se aplicaNão se aplicaNão se aplicaNão se aplica",Mercado_Receita!$N$2:$N$298)</f>
        <v>131.369</v>
      </c>
      <c r="O20" s="14">
        <f>SUMIF(Mercado_Receita!$T$2:$T$298,"44470B2Energia convencionalRuralNão se aplicaNão se aplicaNão se aplicaNão se aplica",Mercado_Receita!$N$2:$N$298)</f>
        <v>118.01400000000001</v>
      </c>
      <c r="P20" s="14">
        <f>SUMIF(Mercado_Receita!$T$2:$T$298,"44501B2Energia convencionalRuralNão se aplicaNão se aplicaNão se aplicaNão se aplica",Mercado_Receita!$N$2:$N$298)</f>
        <v>125.24699999999999</v>
      </c>
      <c r="Q20" s="14">
        <f>SUMIF(Mercado_Receita!$T$2:$T$298,"44531B2Energia convencionalRuralNão se aplicaNão se aplicaNão se aplicaNão se aplica",Mercado_Receita!$N$2:$N$298)</f>
        <v>130.18299999999999</v>
      </c>
      <c r="R20" s="14">
        <f>SUMIF(Mercado_Receita!$T$2:$T$298,"44562B2Energia convencionalRuralNão se aplicaNão se aplicaNão se aplicaNão se aplica",Mercado_Receita!$N$2:$N$298)</f>
        <v>134.14000000000001</v>
      </c>
      <c r="S20" s="14">
        <f>SUMIF(Mercado_Receita!$T$2:$T$298,"44593B2Energia convencionalRuralNão se aplicaNão se aplicaNão se aplicaNão se aplica",Mercado_Receita!$N$2:$N$298)</f>
        <v>131.87</v>
      </c>
      <c r="T20" s="14">
        <f>SUMIF(Mercado_Receita!$T$2:$T$298,"44621B2Energia convencionalRuralNão se aplicaNão se aplicaNão se aplicaNão se aplica",Mercado_Receita!$N$2:$N$298)</f>
        <v>124.10299999999999</v>
      </c>
      <c r="U20" s="14">
        <f t="shared" si="0"/>
        <v>1516.1360000000004</v>
      </c>
      <c r="V20" s="14"/>
      <c r="W20" s="14"/>
    </row>
    <row r="21" spans="1:23" ht="11.25" customHeight="1" x14ac:dyDescent="0.3">
      <c r="A21" s="107"/>
      <c r="B21" s="106" t="s">
        <v>66</v>
      </c>
      <c r="C21" s="106" t="s">
        <v>41</v>
      </c>
      <c r="D21" s="106" t="s">
        <v>85</v>
      </c>
      <c r="E21" s="106" t="s">
        <v>25</v>
      </c>
      <c r="F21" s="106" t="s">
        <v>25</v>
      </c>
      <c r="G21" s="14" t="s">
        <v>68</v>
      </c>
      <c r="H21" s="14" t="s">
        <v>67</v>
      </c>
      <c r="I21" s="14">
        <f>SUMIF(Mercado_Receita!$T$2:$T$298,"44287B2Energia horáriaRuralCooperativa de eletrificação ruralNão se aplicaNão se aplicaPonta",Mercado_Receita!$N$2:$N$298)</f>
        <v>0</v>
      </c>
      <c r="J21" s="14">
        <f>SUMIF(Mercado_Receita!$T$2:$T$298,"44317B2Energia horáriaRuralCooperativa de eletrificação ruralNão se aplicaNão se aplicaPonta",Mercado_Receita!$N$2:$N$298)</f>
        <v>0</v>
      </c>
      <c r="K21" s="14">
        <f>SUMIF(Mercado_Receita!$T$2:$T$298,"44348B2Energia horáriaRuralCooperativa de eletrificação ruralNão se aplicaNão se aplicaPonta",Mercado_Receita!$N$2:$N$298)</f>
        <v>0</v>
      </c>
      <c r="L21" s="14">
        <f>SUMIF(Mercado_Receita!$T$2:$T$298,"44378B2Energia horáriaRuralCooperativa de eletrificação ruralNão se aplicaNão se aplicaPonta",Mercado_Receita!$N$2:$N$298)</f>
        <v>0</v>
      </c>
      <c r="M21" s="14">
        <f>SUMIF(Mercado_Receita!$T$2:$T$298,"44409B2Energia horáriaRuralCooperativa de eletrificação ruralNão se aplicaNão se aplicaPonta",Mercado_Receita!$N$2:$N$298)</f>
        <v>0</v>
      </c>
      <c r="N21" s="14">
        <f>SUMIF(Mercado_Receita!$T$2:$T$298,"44440B2Energia horáriaRuralCooperativa de eletrificação ruralNão se aplicaNão se aplicaPonta",Mercado_Receita!$N$2:$N$298)</f>
        <v>0</v>
      </c>
      <c r="O21" s="14">
        <f>SUMIF(Mercado_Receita!$T$2:$T$298,"44470B2Energia horáriaRuralCooperativa de eletrificação ruralNão se aplicaNão se aplicaPonta",Mercado_Receita!$N$2:$N$298)</f>
        <v>0</v>
      </c>
      <c r="P21" s="14">
        <f>SUMIF(Mercado_Receita!$T$2:$T$298,"44501B2Energia horáriaRuralCooperativa de eletrificação ruralNão se aplicaNão se aplicaPonta",Mercado_Receita!$N$2:$N$298)</f>
        <v>0</v>
      </c>
      <c r="Q21" s="14">
        <f>SUMIF(Mercado_Receita!$T$2:$T$298,"44531B2Energia horáriaRuralCooperativa de eletrificação ruralNão se aplicaNão se aplicaPonta",Mercado_Receita!$N$2:$N$298)</f>
        <v>0</v>
      </c>
      <c r="R21" s="14">
        <f>SUMIF(Mercado_Receita!$T$2:$T$298,"44562B2Energia horáriaRuralCooperativa de eletrificação ruralNão se aplicaNão se aplicaPonta",Mercado_Receita!$N$2:$N$298)</f>
        <v>0</v>
      </c>
      <c r="S21" s="14">
        <f>SUMIF(Mercado_Receita!$T$2:$T$298,"44593B2Energia horáriaRuralCooperativa de eletrificação ruralNão se aplicaNão se aplicaPonta",Mercado_Receita!$N$2:$N$298)</f>
        <v>0</v>
      </c>
      <c r="T21" s="14">
        <f>SUMIF(Mercado_Receita!$T$2:$T$298,"44621B2Energia horáriaRuralCooperativa de eletrificação ruralNão se aplicaNão se aplicaPonta",Mercado_Receita!$N$2:$N$298)</f>
        <v>0</v>
      </c>
      <c r="U21" s="14">
        <f t="shared" si="0"/>
        <v>0</v>
      </c>
      <c r="V21" s="14"/>
      <c r="W21" s="14"/>
    </row>
    <row r="22" spans="1:23" ht="11.25" customHeight="1" x14ac:dyDescent="0.3">
      <c r="A22" s="107"/>
      <c r="B22" s="107"/>
      <c r="C22" s="107"/>
      <c r="D22" s="107"/>
      <c r="E22" s="107"/>
      <c r="F22" s="107"/>
      <c r="G22" s="14" t="s">
        <v>80</v>
      </c>
      <c r="H22" s="14" t="s">
        <v>67</v>
      </c>
      <c r="I22" s="14">
        <f>SUMIF(Mercado_Receita!$T$2:$T$298,"44287B2Energia horáriaRuralCooperativa de eletrificação ruralNão se aplicaNão se aplicaIntermediário",Mercado_Receita!$N$2:$N$298)</f>
        <v>0</v>
      </c>
      <c r="J22" s="14">
        <f>SUMIF(Mercado_Receita!$T$2:$T$298,"44317B2Energia horáriaRuralCooperativa de eletrificação ruralNão se aplicaNão se aplicaIntermediário",Mercado_Receita!$N$2:$N$298)</f>
        <v>0</v>
      </c>
      <c r="K22" s="14">
        <f>SUMIF(Mercado_Receita!$T$2:$T$298,"44348B2Energia horáriaRuralCooperativa de eletrificação ruralNão se aplicaNão se aplicaIntermediário",Mercado_Receita!$N$2:$N$298)</f>
        <v>0</v>
      </c>
      <c r="L22" s="14">
        <f>SUMIF(Mercado_Receita!$T$2:$T$298,"44378B2Energia horáriaRuralCooperativa de eletrificação ruralNão se aplicaNão se aplicaIntermediário",Mercado_Receita!$N$2:$N$298)</f>
        <v>0</v>
      </c>
      <c r="M22" s="14">
        <f>SUMIF(Mercado_Receita!$T$2:$T$298,"44409B2Energia horáriaRuralCooperativa de eletrificação ruralNão se aplicaNão se aplicaIntermediário",Mercado_Receita!$N$2:$N$298)</f>
        <v>0</v>
      </c>
      <c r="N22" s="14">
        <f>SUMIF(Mercado_Receita!$T$2:$T$298,"44440B2Energia horáriaRuralCooperativa de eletrificação ruralNão se aplicaNão se aplicaIntermediário",Mercado_Receita!$N$2:$N$298)</f>
        <v>0</v>
      </c>
      <c r="O22" s="14">
        <f>SUMIF(Mercado_Receita!$T$2:$T$298,"44470B2Energia horáriaRuralCooperativa de eletrificação ruralNão se aplicaNão se aplicaIntermediário",Mercado_Receita!$N$2:$N$298)</f>
        <v>0</v>
      </c>
      <c r="P22" s="14">
        <f>SUMIF(Mercado_Receita!$T$2:$T$298,"44501B2Energia horáriaRuralCooperativa de eletrificação ruralNão se aplicaNão se aplicaIntermediário",Mercado_Receita!$N$2:$N$298)</f>
        <v>0</v>
      </c>
      <c r="Q22" s="14">
        <f>SUMIF(Mercado_Receita!$T$2:$T$298,"44531B2Energia horáriaRuralCooperativa de eletrificação ruralNão se aplicaNão se aplicaIntermediário",Mercado_Receita!$N$2:$N$298)</f>
        <v>0</v>
      </c>
      <c r="R22" s="14">
        <f>SUMIF(Mercado_Receita!$T$2:$T$298,"44562B2Energia horáriaRuralCooperativa de eletrificação ruralNão se aplicaNão se aplicaIntermediário",Mercado_Receita!$N$2:$N$298)</f>
        <v>0</v>
      </c>
      <c r="S22" s="14">
        <f>SUMIF(Mercado_Receita!$T$2:$T$298,"44593B2Energia horáriaRuralCooperativa de eletrificação ruralNão se aplicaNão se aplicaIntermediário",Mercado_Receita!$N$2:$N$298)</f>
        <v>0</v>
      </c>
      <c r="T22" s="14">
        <f>SUMIF(Mercado_Receita!$T$2:$T$298,"44621B2Energia horáriaRuralCooperativa de eletrificação ruralNão se aplicaNão se aplicaIntermediário",Mercado_Receita!$N$2:$N$298)</f>
        <v>0</v>
      </c>
      <c r="U22" s="14">
        <f t="shared" si="0"/>
        <v>0</v>
      </c>
      <c r="V22" s="14"/>
      <c r="W22" s="14"/>
    </row>
    <row r="23" spans="1:23" ht="11.25" customHeight="1" x14ac:dyDescent="0.3">
      <c r="A23" s="107"/>
      <c r="B23" s="107"/>
      <c r="C23" s="107"/>
      <c r="D23" s="107"/>
      <c r="E23" s="107"/>
      <c r="F23" s="107"/>
      <c r="G23" s="14" t="s">
        <v>69</v>
      </c>
      <c r="H23" s="14" t="s">
        <v>67</v>
      </c>
      <c r="I23" s="14">
        <f>SUMIF(Mercado_Receita!$T$2:$T$298,"44287B2Energia horáriaRuralCooperativa de eletrificação ruralNão se aplicaNão se aplicaFora ponta",Mercado_Receita!$N$2:$N$298)</f>
        <v>0</v>
      </c>
      <c r="J23" s="14">
        <f>SUMIF(Mercado_Receita!$T$2:$T$298,"44317B2Energia horáriaRuralCooperativa de eletrificação ruralNão se aplicaNão se aplicaFora ponta",Mercado_Receita!$N$2:$N$298)</f>
        <v>0</v>
      </c>
      <c r="K23" s="14">
        <f>SUMIF(Mercado_Receita!$T$2:$T$298,"44348B2Energia horáriaRuralCooperativa de eletrificação ruralNão se aplicaNão se aplicaFora ponta",Mercado_Receita!$N$2:$N$298)</f>
        <v>0</v>
      </c>
      <c r="L23" s="14">
        <f>SUMIF(Mercado_Receita!$T$2:$T$298,"44378B2Energia horáriaRuralCooperativa de eletrificação ruralNão se aplicaNão se aplicaFora ponta",Mercado_Receita!$N$2:$N$298)</f>
        <v>0</v>
      </c>
      <c r="M23" s="14">
        <f>SUMIF(Mercado_Receita!$T$2:$T$298,"44409B2Energia horáriaRuralCooperativa de eletrificação ruralNão se aplicaNão se aplicaFora ponta",Mercado_Receita!$N$2:$N$298)</f>
        <v>0</v>
      </c>
      <c r="N23" s="14">
        <f>SUMIF(Mercado_Receita!$T$2:$T$298,"44440B2Energia horáriaRuralCooperativa de eletrificação ruralNão se aplicaNão se aplicaFora ponta",Mercado_Receita!$N$2:$N$298)</f>
        <v>0</v>
      </c>
      <c r="O23" s="14">
        <f>SUMIF(Mercado_Receita!$T$2:$T$298,"44470B2Energia horáriaRuralCooperativa de eletrificação ruralNão se aplicaNão se aplicaFora ponta",Mercado_Receita!$N$2:$N$298)</f>
        <v>0</v>
      </c>
      <c r="P23" s="14">
        <f>SUMIF(Mercado_Receita!$T$2:$T$298,"44501B2Energia horáriaRuralCooperativa de eletrificação ruralNão se aplicaNão se aplicaFora ponta",Mercado_Receita!$N$2:$N$298)</f>
        <v>0</v>
      </c>
      <c r="Q23" s="14">
        <f>SUMIF(Mercado_Receita!$T$2:$T$298,"44531B2Energia horáriaRuralCooperativa de eletrificação ruralNão se aplicaNão se aplicaFora ponta",Mercado_Receita!$N$2:$N$298)</f>
        <v>0</v>
      </c>
      <c r="R23" s="14">
        <f>SUMIF(Mercado_Receita!$T$2:$T$298,"44562B2Energia horáriaRuralCooperativa de eletrificação ruralNão se aplicaNão se aplicaFora ponta",Mercado_Receita!$N$2:$N$298)</f>
        <v>0</v>
      </c>
      <c r="S23" s="14">
        <f>SUMIF(Mercado_Receita!$T$2:$T$298,"44593B2Energia horáriaRuralCooperativa de eletrificação ruralNão se aplicaNão se aplicaFora ponta",Mercado_Receita!$N$2:$N$298)</f>
        <v>0</v>
      </c>
      <c r="T23" s="14">
        <f>SUMIF(Mercado_Receita!$T$2:$T$298,"44621B2Energia horáriaRuralCooperativa de eletrificação ruralNão se aplicaNão se aplicaFora ponta",Mercado_Receita!$N$2:$N$298)</f>
        <v>0</v>
      </c>
      <c r="U23" s="14">
        <f t="shared" si="0"/>
        <v>0</v>
      </c>
      <c r="V23" s="14"/>
      <c r="W23" s="14"/>
    </row>
    <row r="24" spans="1:23" ht="11.25" customHeight="1" x14ac:dyDescent="0.3">
      <c r="A24" s="107"/>
      <c r="B24" s="13" t="s">
        <v>81</v>
      </c>
      <c r="C24" s="13" t="s">
        <v>41</v>
      </c>
      <c r="D24" s="13" t="s">
        <v>85</v>
      </c>
      <c r="E24" s="13" t="s">
        <v>25</v>
      </c>
      <c r="F24" s="13" t="s">
        <v>25</v>
      </c>
      <c r="G24" s="14" t="s">
        <v>74</v>
      </c>
      <c r="H24" s="14" t="s">
        <v>67</v>
      </c>
      <c r="I24" s="14">
        <f>SUMIF(Mercado_Receita!$T$2:$T$298,"44287B2Energia convencionalRuralCooperativa de eletrificação ruralNão se aplicaNão se aplicaNão se aplica",Mercado_Receita!$N$2:$N$298)</f>
        <v>0</v>
      </c>
      <c r="J24" s="14">
        <f>SUMIF(Mercado_Receita!$T$2:$T$298,"44317B2Energia convencionalRuralCooperativa de eletrificação ruralNão se aplicaNão se aplicaNão se aplica",Mercado_Receita!$N$2:$N$298)</f>
        <v>0</v>
      </c>
      <c r="K24" s="14">
        <f>SUMIF(Mercado_Receita!$T$2:$T$298,"44348B2Energia convencionalRuralCooperativa de eletrificação ruralNão se aplicaNão se aplicaNão se aplica",Mercado_Receita!$N$2:$N$298)</f>
        <v>0</v>
      </c>
      <c r="L24" s="14">
        <f>SUMIF(Mercado_Receita!$T$2:$T$298,"44378B2Energia convencionalRuralCooperativa de eletrificação ruralNão se aplicaNão se aplicaNão se aplica",Mercado_Receita!$N$2:$N$298)</f>
        <v>0</v>
      </c>
      <c r="M24" s="14">
        <f>SUMIF(Mercado_Receita!$T$2:$T$298,"44409B2Energia convencionalRuralCooperativa de eletrificação ruralNão se aplicaNão se aplicaNão se aplica",Mercado_Receita!$N$2:$N$298)</f>
        <v>0</v>
      </c>
      <c r="N24" s="14">
        <f>SUMIF(Mercado_Receita!$T$2:$T$298,"44440B2Energia convencionalRuralCooperativa de eletrificação ruralNão se aplicaNão se aplicaNão se aplica",Mercado_Receita!$N$2:$N$298)</f>
        <v>0</v>
      </c>
      <c r="O24" s="14">
        <f>SUMIF(Mercado_Receita!$T$2:$T$298,"44470B2Energia convencionalRuralCooperativa de eletrificação ruralNão se aplicaNão se aplicaNão se aplica",Mercado_Receita!$N$2:$N$298)</f>
        <v>0</v>
      </c>
      <c r="P24" s="14">
        <f>SUMIF(Mercado_Receita!$T$2:$T$298,"44501B2Energia convencionalRuralCooperativa de eletrificação ruralNão se aplicaNão se aplicaNão se aplica",Mercado_Receita!$N$2:$N$298)</f>
        <v>0</v>
      </c>
      <c r="Q24" s="14">
        <f>SUMIF(Mercado_Receita!$T$2:$T$298,"44531B2Energia convencionalRuralCooperativa de eletrificação ruralNão se aplicaNão se aplicaNão se aplica",Mercado_Receita!$N$2:$N$298)</f>
        <v>0</v>
      </c>
      <c r="R24" s="14">
        <f>SUMIF(Mercado_Receita!$T$2:$T$298,"44562B2Energia convencionalRuralCooperativa de eletrificação ruralNão se aplicaNão se aplicaNão se aplica",Mercado_Receita!$N$2:$N$298)</f>
        <v>0</v>
      </c>
      <c r="S24" s="14">
        <f>SUMIF(Mercado_Receita!$T$2:$T$298,"44593B2Energia convencionalRuralCooperativa de eletrificação ruralNão se aplicaNão se aplicaNão se aplica",Mercado_Receita!$N$2:$N$298)</f>
        <v>0</v>
      </c>
      <c r="T24" s="14">
        <f>SUMIF(Mercado_Receita!$T$2:$T$298,"44621B2Energia convencionalRuralCooperativa de eletrificação ruralNão se aplicaNão se aplicaNão se aplica",Mercado_Receita!$N$2:$N$298)</f>
        <v>0</v>
      </c>
      <c r="U24" s="14">
        <f t="shared" si="0"/>
        <v>0</v>
      </c>
      <c r="V24" s="14"/>
      <c r="W24" s="14"/>
    </row>
    <row r="25" spans="1:23" ht="11.25" customHeight="1" x14ac:dyDescent="0.3">
      <c r="A25" s="107"/>
      <c r="B25" s="106" t="s">
        <v>66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14" t="s">
        <v>68</v>
      </c>
      <c r="H25" s="14" t="s">
        <v>67</v>
      </c>
      <c r="I25" s="14">
        <f>SUMIF(Mercado_Receita!$T$2:$T$298,"44287B2Energia horáriaRuralServiço público de irrigação ruralNão se aplicaNão se aplicaPonta",Mercado_Receita!$N$2:$N$298)</f>
        <v>0</v>
      </c>
      <c r="J25" s="14">
        <f>SUMIF(Mercado_Receita!$T$2:$T$298,"44317B2Energia horáriaRuralServiço público de irrigação ruralNão se aplicaNão se aplicaPonta",Mercado_Receita!$N$2:$N$298)</f>
        <v>0</v>
      </c>
      <c r="K25" s="14">
        <f>SUMIF(Mercado_Receita!$T$2:$T$298,"44348B2Energia horáriaRuralServiço público de irrigação ruralNão se aplicaNão se aplicaPonta",Mercado_Receita!$N$2:$N$298)</f>
        <v>0</v>
      </c>
      <c r="L25" s="14">
        <f>SUMIF(Mercado_Receita!$T$2:$T$298,"44378B2Energia horáriaRuralServiço público de irrigação ruralNão se aplicaNão se aplicaPonta",Mercado_Receita!$N$2:$N$298)</f>
        <v>0</v>
      </c>
      <c r="M25" s="14">
        <f>SUMIF(Mercado_Receita!$T$2:$T$298,"44409B2Energia horáriaRuralServiço público de irrigação ruralNão se aplicaNão se aplicaPonta",Mercado_Receita!$N$2:$N$298)</f>
        <v>0</v>
      </c>
      <c r="N25" s="14">
        <f>SUMIF(Mercado_Receita!$T$2:$T$298,"44440B2Energia horáriaRuralServiço público de irrigação ruralNão se aplicaNão se aplicaPonta",Mercado_Receita!$N$2:$N$298)</f>
        <v>0</v>
      </c>
      <c r="O25" s="14">
        <f>SUMIF(Mercado_Receita!$T$2:$T$298,"44470B2Energia horáriaRuralServiço público de irrigação ruralNão se aplicaNão se aplicaPonta",Mercado_Receita!$N$2:$N$298)</f>
        <v>0</v>
      </c>
      <c r="P25" s="14">
        <f>SUMIF(Mercado_Receita!$T$2:$T$298,"44501B2Energia horáriaRuralServiço público de irrigação ruralNão se aplicaNão se aplicaPonta",Mercado_Receita!$N$2:$N$298)</f>
        <v>0</v>
      </c>
      <c r="Q25" s="14">
        <f>SUMIF(Mercado_Receita!$T$2:$T$298,"44531B2Energia horáriaRuralServiço público de irrigação ruralNão se aplicaNão se aplicaPonta",Mercado_Receita!$N$2:$N$298)</f>
        <v>0</v>
      </c>
      <c r="R25" s="14">
        <f>SUMIF(Mercado_Receita!$T$2:$T$298,"44562B2Energia horáriaRuralServiço público de irrigação ruralNão se aplicaNão se aplicaPonta",Mercado_Receita!$N$2:$N$298)</f>
        <v>0</v>
      </c>
      <c r="S25" s="14">
        <f>SUMIF(Mercado_Receita!$T$2:$T$298,"44593B2Energia horáriaRuralServiço público de irrigação ruralNão se aplicaNão se aplicaPonta",Mercado_Receita!$N$2:$N$298)</f>
        <v>0</v>
      </c>
      <c r="T25" s="14">
        <f>SUMIF(Mercado_Receita!$T$2:$T$298,"44621B2Energia horáriaRuralServiço público de irrigação ruralNão se aplicaNão se aplicaPonta",Mercado_Receita!$N$2:$N$298)</f>
        <v>0</v>
      </c>
      <c r="U25" s="14">
        <f t="shared" si="0"/>
        <v>0</v>
      </c>
      <c r="V25" s="14"/>
      <c r="W25" s="14"/>
    </row>
    <row r="26" spans="1:23" ht="11.25" customHeight="1" x14ac:dyDescent="0.3">
      <c r="A26" s="107"/>
      <c r="B26" s="107"/>
      <c r="C26" s="107"/>
      <c r="D26" s="107"/>
      <c r="E26" s="107"/>
      <c r="F26" s="107"/>
      <c r="G26" s="14" t="s">
        <v>80</v>
      </c>
      <c r="H26" s="14" t="s">
        <v>67</v>
      </c>
      <c r="I26" s="14">
        <f>SUMIF(Mercado_Receita!$T$2:$T$298,"44287B2Energia horáriaRuralServiço público de irrigação ruralNão se aplicaNão se aplicaIntermediário",Mercado_Receita!$N$2:$N$298)</f>
        <v>0</v>
      </c>
      <c r="J26" s="14">
        <f>SUMIF(Mercado_Receita!$T$2:$T$298,"44317B2Energia horáriaRuralServiço público de irrigação ruralNão se aplicaNão se aplicaIntermediário",Mercado_Receita!$N$2:$N$298)</f>
        <v>0</v>
      </c>
      <c r="K26" s="14">
        <f>SUMIF(Mercado_Receita!$T$2:$T$298,"44348B2Energia horáriaRuralServiço público de irrigação ruralNão se aplicaNão se aplicaIntermediário",Mercado_Receita!$N$2:$N$298)</f>
        <v>0</v>
      </c>
      <c r="L26" s="14">
        <f>SUMIF(Mercado_Receita!$T$2:$T$298,"44378B2Energia horáriaRuralServiço público de irrigação ruralNão se aplicaNão se aplicaIntermediário",Mercado_Receita!$N$2:$N$298)</f>
        <v>0</v>
      </c>
      <c r="M26" s="14">
        <f>SUMIF(Mercado_Receita!$T$2:$T$298,"44409B2Energia horáriaRuralServiço público de irrigação ruralNão se aplicaNão se aplicaIntermediário",Mercado_Receita!$N$2:$N$298)</f>
        <v>0</v>
      </c>
      <c r="N26" s="14">
        <f>SUMIF(Mercado_Receita!$T$2:$T$298,"44440B2Energia horáriaRuralServiço público de irrigação ruralNão se aplicaNão se aplicaIntermediário",Mercado_Receita!$N$2:$N$298)</f>
        <v>0</v>
      </c>
      <c r="O26" s="14">
        <f>SUMIF(Mercado_Receita!$T$2:$T$298,"44470B2Energia horáriaRuralServiço público de irrigação ruralNão se aplicaNão se aplicaIntermediário",Mercado_Receita!$N$2:$N$298)</f>
        <v>0</v>
      </c>
      <c r="P26" s="14">
        <f>SUMIF(Mercado_Receita!$T$2:$T$298,"44501B2Energia horáriaRuralServiço público de irrigação ruralNão se aplicaNão se aplicaIntermediário",Mercado_Receita!$N$2:$N$298)</f>
        <v>0</v>
      </c>
      <c r="Q26" s="14">
        <f>SUMIF(Mercado_Receita!$T$2:$T$298,"44531B2Energia horáriaRuralServiço público de irrigação ruralNão se aplicaNão se aplicaIntermediário",Mercado_Receita!$N$2:$N$298)</f>
        <v>0</v>
      </c>
      <c r="R26" s="14">
        <f>SUMIF(Mercado_Receita!$T$2:$T$298,"44562B2Energia horáriaRuralServiço público de irrigação ruralNão se aplicaNão se aplicaIntermediário",Mercado_Receita!$N$2:$N$298)</f>
        <v>0</v>
      </c>
      <c r="S26" s="14">
        <f>SUMIF(Mercado_Receita!$T$2:$T$298,"44593B2Energia horáriaRuralServiço público de irrigação ruralNão se aplicaNão se aplicaIntermediário",Mercado_Receita!$N$2:$N$298)</f>
        <v>0</v>
      </c>
      <c r="T26" s="14">
        <f>SUMIF(Mercado_Receita!$T$2:$T$298,"44621B2Energia horáriaRuralServiço público de irrigação ruralNão se aplicaNão se aplicaIntermediário",Mercado_Receita!$N$2:$N$298)</f>
        <v>0</v>
      </c>
      <c r="U26" s="14">
        <f t="shared" si="0"/>
        <v>0</v>
      </c>
      <c r="V26" s="14"/>
      <c r="W26" s="14"/>
    </row>
    <row r="27" spans="1:23" ht="11.25" customHeight="1" x14ac:dyDescent="0.3">
      <c r="A27" s="107"/>
      <c r="B27" s="107"/>
      <c r="C27" s="107"/>
      <c r="D27" s="107"/>
      <c r="E27" s="107"/>
      <c r="F27" s="107"/>
      <c r="G27" s="14" t="s">
        <v>69</v>
      </c>
      <c r="H27" s="14" t="s">
        <v>67</v>
      </c>
      <c r="I27" s="14">
        <f>SUMIF(Mercado_Receita!$T$2:$T$298,"44287B2Energia horáriaRuralServiço público de irrigação ruralNão se aplicaNão se aplicaFora ponta",Mercado_Receita!$N$2:$N$298)</f>
        <v>0</v>
      </c>
      <c r="J27" s="14">
        <f>SUMIF(Mercado_Receita!$T$2:$T$298,"44317B2Energia horáriaRuralServiço público de irrigação ruralNão se aplicaNão se aplicaFora ponta",Mercado_Receita!$N$2:$N$298)</f>
        <v>0</v>
      </c>
      <c r="K27" s="14">
        <f>SUMIF(Mercado_Receita!$T$2:$T$298,"44348B2Energia horáriaRuralServiço público de irrigação ruralNão se aplicaNão se aplicaFora ponta",Mercado_Receita!$N$2:$N$298)</f>
        <v>0</v>
      </c>
      <c r="L27" s="14">
        <f>SUMIF(Mercado_Receita!$T$2:$T$298,"44378B2Energia horáriaRuralServiço público de irrigação ruralNão se aplicaNão se aplicaFora ponta",Mercado_Receita!$N$2:$N$298)</f>
        <v>0</v>
      </c>
      <c r="M27" s="14">
        <f>SUMIF(Mercado_Receita!$T$2:$T$298,"44409B2Energia horáriaRuralServiço público de irrigação ruralNão se aplicaNão se aplicaFora ponta",Mercado_Receita!$N$2:$N$298)</f>
        <v>0</v>
      </c>
      <c r="N27" s="14">
        <f>SUMIF(Mercado_Receita!$T$2:$T$298,"44440B2Energia horáriaRuralServiço público de irrigação ruralNão se aplicaNão se aplicaFora ponta",Mercado_Receita!$N$2:$N$298)</f>
        <v>0</v>
      </c>
      <c r="O27" s="14">
        <f>SUMIF(Mercado_Receita!$T$2:$T$298,"44470B2Energia horáriaRuralServiço público de irrigação ruralNão se aplicaNão se aplicaFora ponta",Mercado_Receita!$N$2:$N$298)</f>
        <v>0</v>
      </c>
      <c r="P27" s="14">
        <f>SUMIF(Mercado_Receita!$T$2:$T$298,"44501B2Energia horáriaRuralServiço público de irrigação ruralNão se aplicaNão se aplicaFora ponta",Mercado_Receita!$N$2:$N$298)</f>
        <v>0</v>
      </c>
      <c r="Q27" s="14">
        <f>SUMIF(Mercado_Receita!$T$2:$T$298,"44531B2Energia horáriaRuralServiço público de irrigação ruralNão se aplicaNão se aplicaFora ponta",Mercado_Receita!$N$2:$N$298)</f>
        <v>0</v>
      </c>
      <c r="R27" s="14">
        <f>SUMIF(Mercado_Receita!$T$2:$T$298,"44562B2Energia horáriaRuralServiço público de irrigação ruralNão se aplicaNão se aplicaFora ponta",Mercado_Receita!$N$2:$N$298)</f>
        <v>0</v>
      </c>
      <c r="S27" s="14">
        <f>SUMIF(Mercado_Receita!$T$2:$T$298,"44593B2Energia horáriaRuralServiço público de irrigação ruralNão se aplicaNão se aplicaFora ponta",Mercado_Receita!$N$2:$N$298)</f>
        <v>0</v>
      </c>
      <c r="T27" s="14">
        <f>SUMIF(Mercado_Receita!$T$2:$T$298,"44621B2Energia horáriaRuralServiço público de irrigação ruralNão se aplicaNão se aplicaFora ponta",Mercado_Receita!$N$2:$N$298)</f>
        <v>0</v>
      </c>
      <c r="U27" s="14">
        <f t="shared" si="0"/>
        <v>0</v>
      </c>
      <c r="V27" s="14"/>
      <c r="W27" s="14"/>
    </row>
    <row r="28" spans="1:23" ht="11.25" customHeight="1" x14ac:dyDescent="0.3">
      <c r="A28" s="107"/>
      <c r="B28" s="13" t="s">
        <v>81</v>
      </c>
      <c r="C28" s="13" t="s">
        <v>41</v>
      </c>
      <c r="D28" s="13" t="s">
        <v>86</v>
      </c>
      <c r="E28" s="13" t="s">
        <v>25</v>
      </c>
      <c r="F28" s="13" t="s">
        <v>25</v>
      </c>
      <c r="G28" s="14" t="s">
        <v>74</v>
      </c>
      <c r="H28" s="14" t="s">
        <v>67</v>
      </c>
      <c r="I28" s="14">
        <f>SUMIF(Mercado_Receita!$T$2:$T$298,"44287B2Energia convencionalRuralServiço público de irrigação ruralNão se aplicaNão se aplicaNão se aplica",Mercado_Receita!$N$2:$N$298)</f>
        <v>0</v>
      </c>
      <c r="J28" s="14">
        <f>SUMIF(Mercado_Receita!$T$2:$T$298,"44317B2Energia convencionalRuralServiço público de irrigação ruralNão se aplicaNão se aplicaNão se aplica",Mercado_Receita!$N$2:$N$298)</f>
        <v>0</v>
      </c>
      <c r="K28" s="14">
        <f>SUMIF(Mercado_Receita!$T$2:$T$298,"44348B2Energia convencionalRuralServiço público de irrigação ruralNão se aplicaNão se aplicaNão se aplica",Mercado_Receita!$N$2:$N$298)</f>
        <v>0</v>
      </c>
      <c r="L28" s="14">
        <f>SUMIF(Mercado_Receita!$T$2:$T$298,"44378B2Energia convencionalRuralServiço público de irrigação ruralNão se aplicaNão se aplicaNão se aplica",Mercado_Receita!$N$2:$N$298)</f>
        <v>0</v>
      </c>
      <c r="M28" s="14">
        <f>SUMIF(Mercado_Receita!$T$2:$T$298,"44409B2Energia convencionalRuralServiço público de irrigação ruralNão se aplicaNão se aplicaNão se aplica",Mercado_Receita!$N$2:$N$298)</f>
        <v>0</v>
      </c>
      <c r="N28" s="14">
        <f>SUMIF(Mercado_Receita!$T$2:$T$298,"44440B2Energia convencionalRuralServiço público de irrigação ruralNão se aplicaNão se aplicaNão se aplica",Mercado_Receita!$N$2:$N$298)</f>
        <v>0</v>
      </c>
      <c r="O28" s="14">
        <f>SUMIF(Mercado_Receita!$T$2:$T$298,"44470B2Energia convencionalRuralServiço público de irrigação ruralNão se aplicaNão se aplicaNão se aplica",Mercado_Receita!$N$2:$N$298)</f>
        <v>0</v>
      </c>
      <c r="P28" s="14">
        <f>SUMIF(Mercado_Receita!$T$2:$T$298,"44501B2Energia convencionalRuralServiço público de irrigação ruralNão se aplicaNão se aplicaNão se aplica",Mercado_Receita!$N$2:$N$298)</f>
        <v>0</v>
      </c>
      <c r="Q28" s="14">
        <f>SUMIF(Mercado_Receita!$T$2:$T$298,"44531B2Energia convencionalRuralServiço público de irrigação ruralNão se aplicaNão se aplicaNão se aplica",Mercado_Receita!$N$2:$N$298)</f>
        <v>0</v>
      </c>
      <c r="R28" s="14">
        <f>SUMIF(Mercado_Receita!$T$2:$T$298,"44562B2Energia convencionalRuralServiço público de irrigação ruralNão se aplicaNão se aplicaNão se aplica",Mercado_Receita!$N$2:$N$298)</f>
        <v>0</v>
      </c>
      <c r="S28" s="14">
        <f>SUMIF(Mercado_Receita!$T$2:$T$298,"44593B2Energia convencionalRuralServiço público de irrigação ruralNão se aplicaNão se aplicaNão se aplica",Mercado_Receita!$N$2:$N$298)</f>
        <v>0</v>
      </c>
      <c r="T28" s="14">
        <f>SUMIF(Mercado_Receita!$T$2:$T$298,"44621B2Energia convencionalRuralServiço público de irrigação ruralNão se aplicaNão se aplicaNão se aplica",Mercado_Receita!$N$2:$N$298)</f>
        <v>0</v>
      </c>
      <c r="U28" s="14">
        <f t="shared" si="0"/>
        <v>0</v>
      </c>
      <c r="V28" s="14"/>
      <c r="W28" s="14"/>
    </row>
    <row r="29" spans="1:23" ht="11.25" customHeight="1" x14ac:dyDescent="0.3">
      <c r="A29" s="107"/>
      <c r="B29" s="106" t="s">
        <v>83</v>
      </c>
      <c r="C29" s="106" t="s">
        <v>41</v>
      </c>
      <c r="D29" s="13" t="s">
        <v>25</v>
      </c>
      <c r="E29" s="13" t="s">
        <v>25</v>
      </c>
      <c r="F29" s="13" t="s">
        <v>25</v>
      </c>
      <c r="G29" s="14" t="s">
        <v>74</v>
      </c>
      <c r="H29" s="14" t="s">
        <v>67</v>
      </c>
      <c r="I29" s="14">
        <f>SUMIF(Mercado_Receita!$T$2:$T$298,"44287B2Energia convencional pré-pagamentoRuralNão se aplicaNão se aplicaNão se aplicaNão se aplica",Mercado_Receita!$N$2:$N$298)</f>
        <v>0</v>
      </c>
      <c r="J29" s="14">
        <f>SUMIF(Mercado_Receita!$T$2:$T$298,"44317B2Energia convencional pré-pagamentoRuralNão se aplicaNão se aplicaNão se aplicaNão se aplica",Mercado_Receita!$N$2:$N$298)</f>
        <v>0</v>
      </c>
      <c r="K29" s="14">
        <f>SUMIF(Mercado_Receita!$T$2:$T$298,"44348B2Energia convencional pré-pagamentoRuralNão se aplicaNão se aplicaNão se aplicaNão se aplica",Mercado_Receita!$N$2:$N$298)</f>
        <v>0</v>
      </c>
      <c r="L29" s="14">
        <f>SUMIF(Mercado_Receita!$T$2:$T$298,"44378B2Energia convencional pré-pagamentoRuralNão se aplicaNão se aplicaNão se aplicaNão se aplica",Mercado_Receita!$N$2:$N$298)</f>
        <v>0</v>
      </c>
      <c r="M29" s="14">
        <f>SUMIF(Mercado_Receita!$T$2:$T$298,"44409B2Energia convencional pré-pagamentoRuralNão se aplicaNão se aplicaNão se aplicaNão se aplica",Mercado_Receita!$N$2:$N$298)</f>
        <v>0</v>
      </c>
      <c r="N29" s="14">
        <f>SUMIF(Mercado_Receita!$T$2:$T$298,"44440B2Energia convencional pré-pagamentoRuralNão se aplicaNão se aplicaNão se aplicaNão se aplica",Mercado_Receita!$N$2:$N$298)</f>
        <v>0</v>
      </c>
      <c r="O29" s="14">
        <f>SUMIF(Mercado_Receita!$T$2:$T$298,"44470B2Energia convencional pré-pagamentoRuralNão se aplicaNão se aplicaNão se aplicaNão se aplica",Mercado_Receita!$N$2:$N$298)</f>
        <v>0</v>
      </c>
      <c r="P29" s="14">
        <f>SUMIF(Mercado_Receita!$T$2:$T$298,"44501B2Energia convencional pré-pagamentoRuralNão se aplicaNão se aplicaNão se aplicaNão se aplica",Mercado_Receita!$N$2:$N$298)</f>
        <v>0</v>
      </c>
      <c r="Q29" s="14">
        <f>SUMIF(Mercado_Receita!$T$2:$T$298,"44531B2Energia convencional pré-pagamentoRuralNão se aplicaNão se aplicaNão se aplicaNão se aplica",Mercado_Receita!$N$2:$N$298)</f>
        <v>0</v>
      </c>
      <c r="R29" s="14">
        <f>SUMIF(Mercado_Receita!$T$2:$T$298,"44562B2Energia convencional pré-pagamentoRuralNão se aplicaNão se aplicaNão se aplicaNão se aplica",Mercado_Receita!$N$2:$N$298)</f>
        <v>0</v>
      </c>
      <c r="S29" s="14">
        <f>SUMIF(Mercado_Receita!$T$2:$T$298,"44593B2Energia convencional pré-pagamentoRuralNão se aplicaNão se aplicaNão se aplicaNão se aplica",Mercado_Receita!$N$2:$N$298)</f>
        <v>0</v>
      </c>
      <c r="T29" s="14">
        <f>SUMIF(Mercado_Receita!$T$2:$T$298,"44621B2Energia convencional pré-pagamentoRuralNão se aplicaNão se aplicaNão se aplicaNão se aplica",Mercado_Receita!$N$2:$N$298)</f>
        <v>0</v>
      </c>
      <c r="U29" s="14">
        <f t="shared" si="0"/>
        <v>0</v>
      </c>
      <c r="V29" s="14"/>
      <c r="W29" s="14"/>
    </row>
    <row r="30" spans="1:23" ht="11.25" customHeight="1" x14ac:dyDescent="0.3">
      <c r="A30" s="107"/>
      <c r="B30" s="107"/>
      <c r="C30" s="107"/>
      <c r="D30" s="13" t="s">
        <v>85</v>
      </c>
      <c r="E30" s="13" t="s">
        <v>25</v>
      </c>
      <c r="F30" s="13" t="s">
        <v>25</v>
      </c>
      <c r="G30" s="14" t="s">
        <v>74</v>
      </c>
      <c r="H30" s="14" t="s">
        <v>67</v>
      </c>
      <c r="I30" s="14">
        <f>SUMIF(Mercado_Receita!$T$2:$T$298,"44287B2Energia convencional pré-pagamentoRuralCooperativa de eletrificação ruralNão se aplicaNão se aplicaNão se aplica",Mercado_Receita!$N$2:$N$298)</f>
        <v>0</v>
      </c>
      <c r="J30" s="14">
        <f>SUMIF(Mercado_Receita!$T$2:$T$298,"44317B2Energia convencional pré-pagamentoRuralCooperativa de eletrificação ruralNão se aplicaNão se aplicaNão se aplica",Mercado_Receita!$N$2:$N$298)</f>
        <v>0</v>
      </c>
      <c r="K30" s="14">
        <f>SUMIF(Mercado_Receita!$T$2:$T$298,"44348B2Energia convencional pré-pagamentoRuralCooperativa de eletrificação ruralNão se aplicaNão se aplicaNão se aplica",Mercado_Receita!$N$2:$N$298)</f>
        <v>0</v>
      </c>
      <c r="L30" s="14">
        <f>SUMIF(Mercado_Receita!$T$2:$T$298,"44378B2Energia convencional pré-pagamentoRuralCooperativa de eletrificação ruralNão se aplicaNão se aplicaNão se aplica",Mercado_Receita!$N$2:$N$298)</f>
        <v>0</v>
      </c>
      <c r="M30" s="14">
        <f>SUMIF(Mercado_Receita!$T$2:$T$298,"44409B2Energia convencional pré-pagamentoRuralCooperativa de eletrificação ruralNão se aplicaNão se aplicaNão se aplica",Mercado_Receita!$N$2:$N$298)</f>
        <v>0</v>
      </c>
      <c r="N30" s="14">
        <f>SUMIF(Mercado_Receita!$T$2:$T$298,"44440B2Energia convencional pré-pagamentoRuralCooperativa de eletrificação ruralNão se aplicaNão se aplicaNão se aplica",Mercado_Receita!$N$2:$N$298)</f>
        <v>0</v>
      </c>
      <c r="O30" s="14">
        <f>SUMIF(Mercado_Receita!$T$2:$T$298,"44470B2Energia convencional pré-pagamentoRuralCooperativa de eletrificação ruralNão se aplicaNão se aplicaNão se aplica",Mercado_Receita!$N$2:$N$298)</f>
        <v>0</v>
      </c>
      <c r="P30" s="14">
        <f>SUMIF(Mercado_Receita!$T$2:$T$298,"44501B2Energia convencional pré-pagamentoRuralCooperativa de eletrificação ruralNão se aplicaNão se aplicaNão se aplica",Mercado_Receita!$N$2:$N$298)</f>
        <v>0</v>
      </c>
      <c r="Q30" s="14">
        <f>SUMIF(Mercado_Receita!$T$2:$T$298,"44531B2Energia convencional pré-pagamentoRuralCooperativa de eletrificação ruralNão se aplicaNão se aplicaNão se aplica",Mercado_Receita!$N$2:$N$298)</f>
        <v>0</v>
      </c>
      <c r="R30" s="14">
        <f>SUMIF(Mercado_Receita!$T$2:$T$298,"44562B2Energia convencional pré-pagamentoRuralCooperativa de eletrificação ruralNão se aplicaNão se aplicaNão se aplica",Mercado_Receita!$N$2:$N$298)</f>
        <v>0</v>
      </c>
      <c r="S30" s="14">
        <f>SUMIF(Mercado_Receita!$T$2:$T$298,"44593B2Energia convencional pré-pagamentoRuralCooperativa de eletrificação ruralNão se aplicaNão se aplicaNão se aplica",Mercado_Receita!$N$2:$N$298)</f>
        <v>0</v>
      </c>
      <c r="T30" s="14">
        <f>SUMIF(Mercado_Receita!$T$2:$T$298,"44621B2Energia convencional pré-pagamentoRuralCooperativa de eletrificação ruralNão se aplicaNão se aplicaNão se aplica",Mercado_Receita!$N$2:$N$298)</f>
        <v>0</v>
      </c>
      <c r="U30" s="14">
        <f t="shared" si="0"/>
        <v>0</v>
      </c>
      <c r="V30" s="14"/>
      <c r="W30" s="14"/>
    </row>
    <row r="31" spans="1:23" ht="11.25" customHeight="1" x14ac:dyDescent="0.3">
      <c r="A31" s="107"/>
      <c r="B31" s="107"/>
      <c r="C31" s="107"/>
      <c r="D31" s="13" t="s">
        <v>86</v>
      </c>
      <c r="E31" s="13" t="s">
        <v>25</v>
      </c>
      <c r="F31" s="13" t="s">
        <v>25</v>
      </c>
      <c r="G31" s="14" t="s">
        <v>74</v>
      </c>
      <c r="H31" s="14" t="s">
        <v>67</v>
      </c>
      <c r="I31" s="14">
        <f>SUMIF(Mercado_Receita!$T$2:$T$298,"44287B2Energia convencional pré-pagamentoRuralServiço público de irrigação ruralNão se aplicaNão se aplicaNão se aplica",Mercado_Receita!$N$2:$N$298)</f>
        <v>0</v>
      </c>
      <c r="J31" s="14">
        <f>SUMIF(Mercado_Receita!$T$2:$T$298,"44317B2Energia convencional pré-pagamentoRuralServiço público de irrigação ruralNão se aplicaNão se aplicaNão se aplica",Mercado_Receita!$N$2:$N$298)</f>
        <v>0</v>
      </c>
      <c r="K31" s="14">
        <f>SUMIF(Mercado_Receita!$T$2:$T$298,"44348B2Energia convencional pré-pagamentoRuralServiço público de irrigação ruralNão se aplicaNão se aplicaNão se aplica",Mercado_Receita!$N$2:$N$298)</f>
        <v>0</v>
      </c>
      <c r="L31" s="14">
        <f>SUMIF(Mercado_Receita!$T$2:$T$298,"44378B2Energia convencional pré-pagamentoRuralServiço público de irrigação ruralNão se aplicaNão se aplicaNão se aplica",Mercado_Receita!$N$2:$N$298)</f>
        <v>0</v>
      </c>
      <c r="M31" s="14">
        <f>SUMIF(Mercado_Receita!$T$2:$T$298,"44409B2Energia convencional pré-pagamentoRuralServiço público de irrigação ruralNão se aplicaNão se aplicaNão se aplica",Mercado_Receita!$N$2:$N$298)</f>
        <v>0</v>
      </c>
      <c r="N31" s="14">
        <f>SUMIF(Mercado_Receita!$T$2:$T$298,"44440B2Energia convencional pré-pagamentoRuralServiço público de irrigação ruralNão se aplicaNão se aplicaNão se aplica",Mercado_Receita!$N$2:$N$298)</f>
        <v>0</v>
      </c>
      <c r="O31" s="14">
        <f>SUMIF(Mercado_Receita!$T$2:$T$298,"44470B2Energia convencional pré-pagamentoRuralServiço público de irrigação ruralNão se aplicaNão se aplicaNão se aplica",Mercado_Receita!$N$2:$N$298)</f>
        <v>0</v>
      </c>
      <c r="P31" s="14">
        <f>SUMIF(Mercado_Receita!$T$2:$T$298,"44501B2Energia convencional pré-pagamentoRuralServiço público de irrigação ruralNão se aplicaNão se aplicaNão se aplica",Mercado_Receita!$N$2:$N$298)</f>
        <v>0</v>
      </c>
      <c r="Q31" s="14">
        <f>SUMIF(Mercado_Receita!$T$2:$T$298,"44531B2Energia convencional pré-pagamentoRuralServiço público de irrigação ruralNão se aplicaNão se aplicaNão se aplica",Mercado_Receita!$N$2:$N$298)</f>
        <v>0</v>
      </c>
      <c r="R31" s="14">
        <f>SUMIF(Mercado_Receita!$T$2:$T$298,"44562B2Energia convencional pré-pagamentoRuralServiço público de irrigação ruralNão se aplicaNão se aplicaNão se aplica",Mercado_Receita!$N$2:$N$298)</f>
        <v>0</v>
      </c>
      <c r="S31" s="14">
        <f>SUMIF(Mercado_Receita!$T$2:$T$298,"44593B2Energia convencional pré-pagamentoRuralServiço público de irrigação ruralNão se aplicaNão se aplicaNão se aplica",Mercado_Receita!$N$2:$N$298)</f>
        <v>0</v>
      </c>
      <c r="T31" s="14">
        <f>SUMIF(Mercado_Receita!$T$2:$T$298,"44621B2Energia convencional pré-pagamentoRuralServiço público de irrigação ruralNão se aplicaNão se aplicaNão se aplica",Mercado_Receita!$N$2:$N$298)</f>
        <v>0</v>
      </c>
      <c r="U31" s="14">
        <f t="shared" si="0"/>
        <v>0</v>
      </c>
      <c r="V31" s="14"/>
      <c r="W31" s="14"/>
    </row>
    <row r="32" spans="1:23" ht="11.25" customHeight="1" x14ac:dyDescent="0.3">
      <c r="A32" s="106" t="s">
        <v>33</v>
      </c>
      <c r="B32" s="106" t="s">
        <v>66</v>
      </c>
      <c r="C32" s="106" t="s">
        <v>25</v>
      </c>
      <c r="D32" s="106" t="s">
        <v>25</v>
      </c>
      <c r="E32" s="106" t="s">
        <v>25</v>
      </c>
      <c r="F32" s="106" t="s">
        <v>25</v>
      </c>
      <c r="G32" s="14" t="s">
        <v>68</v>
      </c>
      <c r="H32" s="14" t="s">
        <v>67</v>
      </c>
      <c r="I32" s="14">
        <f>SUMIF(Mercado_Receita!$T$2:$T$298,"44287B3Energia horáriaNão se aplicaNão se aplicaNão se aplicaNão se aplicaPonta",Mercado_Receita!$N$2:$N$298)</f>
        <v>0</v>
      </c>
      <c r="J32" s="14">
        <f>SUMIF(Mercado_Receita!$T$2:$T$298,"44317B3Energia horáriaNão se aplicaNão se aplicaNão se aplicaNão se aplicaPonta",Mercado_Receita!$N$2:$N$298)</f>
        <v>0</v>
      </c>
      <c r="K32" s="14">
        <f>SUMIF(Mercado_Receita!$T$2:$T$298,"44348B3Energia horáriaNão se aplicaNão se aplicaNão se aplicaNão se aplicaPonta",Mercado_Receita!$N$2:$N$298)</f>
        <v>0</v>
      </c>
      <c r="L32" s="14">
        <f>SUMIF(Mercado_Receita!$T$2:$T$298,"44378B3Energia horáriaNão se aplicaNão se aplicaNão se aplicaNão se aplicaPonta",Mercado_Receita!$N$2:$N$298)</f>
        <v>0</v>
      </c>
      <c r="M32" s="14">
        <f>SUMIF(Mercado_Receita!$T$2:$T$298,"44409B3Energia horáriaNão se aplicaNão se aplicaNão se aplicaNão se aplicaPonta",Mercado_Receita!$N$2:$N$298)</f>
        <v>0</v>
      </c>
      <c r="N32" s="14">
        <f>SUMIF(Mercado_Receita!$T$2:$T$298,"44440B3Energia horáriaNão se aplicaNão se aplicaNão se aplicaNão se aplicaPonta",Mercado_Receita!$N$2:$N$298)</f>
        <v>0</v>
      </c>
      <c r="O32" s="14">
        <f>SUMIF(Mercado_Receita!$T$2:$T$298,"44470B3Energia horáriaNão se aplicaNão se aplicaNão se aplicaNão se aplicaPonta",Mercado_Receita!$N$2:$N$298)</f>
        <v>0</v>
      </c>
      <c r="P32" s="14">
        <f>SUMIF(Mercado_Receita!$T$2:$T$298,"44501B3Energia horáriaNão se aplicaNão se aplicaNão se aplicaNão se aplicaPonta",Mercado_Receita!$N$2:$N$298)</f>
        <v>0</v>
      </c>
      <c r="Q32" s="14">
        <f>SUMIF(Mercado_Receita!$T$2:$T$298,"44531B3Energia horáriaNão se aplicaNão se aplicaNão se aplicaNão se aplicaPonta",Mercado_Receita!$N$2:$N$298)</f>
        <v>0</v>
      </c>
      <c r="R32" s="14">
        <f>SUMIF(Mercado_Receita!$T$2:$T$298,"44562B3Energia horáriaNão se aplicaNão se aplicaNão se aplicaNão se aplicaPonta",Mercado_Receita!$N$2:$N$298)</f>
        <v>0</v>
      </c>
      <c r="S32" s="14">
        <f>SUMIF(Mercado_Receita!$T$2:$T$298,"44593B3Energia horáriaNão se aplicaNão se aplicaNão se aplicaNão se aplicaPonta",Mercado_Receita!$N$2:$N$298)</f>
        <v>0</v>
      </c>
      <c r="T32" s="14">
        <f>SUMIF(Mercado_Receita!$T$2:$T$298,"44621B3Energia horáriaNão se aplicaNão se aplicaNão se aplicaNão se aplicaPonta",Mercado_Receita!$N$2:$N$298)</f>
        <v>0</v>
      </c>
      <c r="U32" s="14">
        <f t="shared" si="0"/>
        <v>0</v>
      </c>
      <c r="V32" s="14"/>
      <c r="W32" s="14"/>
    </row>
    <row r="33" spans="1:23" ht="11.25" customHeight="1" x14ac:dyDescent="0.3">
      <c r="A33" s="107"/>
      <c r="B33" s="107"/>
      <c r="C33" s="107"/>
      <c r="D33" s="107"/>
      <c r="E33" s="107"/>
      <c r="F33" s="107"/>
      <c r="G33" s="14" t="s">
        <v>80</v>
      </c>
      <c r="H33" s="14" t="s">
        <v>67</v>
      </c>
      <c r="I33" s="14">
        <f>SUMIF(Mercado_Receita!$T$2:$T$298,"44287B3Energia horáriaNão se aplicaNão se aplicaNão se aplicaNão se aplicaIntermediário",Mercado_Receita!$N$2:$N$298)</f>
        <v>0</v>
      </c>
      <c r="J33" s="14">
        <f>SUMIF(Mercado_Receita!$T$2:$T$298,"44317B3Energia horáriaNão se aplicaNão se aplicaNão se aplicaNão se aplicaIntermediário",Mercado_Receita!$N$2:$N$298)</f>
        <v>0</v>
      </c>
      <c r="K33" s="14">
        <f>SUMIF(Mercado_Receita!$T$2:$T$298,"44348B3Energia horáriaNão se aplicaNão se aplicaNão se aplicaNão se aplicaIntermediário",Mercado_Receita!$N$2:$N$298)</f>
        <v>0</v>
      </c>
      <c r="L33" s="14">
        <f>SUMIF(Mercado_Receita!$T$2:$T$298,"44378B3Energia horáriaNão se aplicaNão se aplicaNão se aplicaNão se aplicaIntermediário",Mercado_Receita!$N$2:$N$298)</f>
        <v>0</v>
      </c>
      <c r="M33" s="14">
        <f>SUMIF(Mercado_Receita!$T$2:$T$298,"44409B3Energia horáriaNão se aplicaNão se aplicaNão se aplicaNão se aplicaIntermediário",Mercado_Receita!$N$2:$N$298)</f>
        <v>0</v>
      </c>
      <c r="N33" s="14">
        <f>SUMIF(Mercado_Receita!$T$2:$T$298,"44440B3Energia horáriaNão se aplicaNão se aplicaNão se aplicaNão se aplicaIntermediário",Mercado_Receita!$N$2:$N$298)</f>
        <v>0</v>
      </c>
      <c r="O33" s="14">
        <f>SUMIF(Mercado_Receita!$T$2:$T$298,"44470B3Energia horáriaNão se aplicaNão se aplicaNão se aplicaNão se aplicaIntermediário",Mercado_Receita!$N$2:$N$298)</f>
        <v>0</v>
      </c>
      <c r="P33" s="14">
        <f>SUMIF(Mercado_Receita!$T$2:$T$298,"44501B3Energia horáriaNão se aplicaNão se aplicaNão se aplicaNão se aplicaIntermediário",Mercado_Receita!$N$2:$N$298)</f>
        <v>0</v>
      </c>
      <c r="Q33" s="14">
        <f>SUMIF(Mercado_Receita!$T$2:$T$298,"44531B3Energia horáriaNão se aplicaNão se aplicaNão se aplicaNão se aplicaIntermediário",Mercado_Receita!$N$2:$N$298)</f>
        <v>0</v>
      </c>
      <c r="R33" s="14">
        <f>SUMIF(Mercado_Receita!$T$2:$T$298,"44562B3Energia horáriaNão se aplicaNão se aplicaNão se aplicaNão se aplicaIntermediário",Mercado_Receita!$N$2:$N$298)</f>
        <v>0</v>
      </c>
      <c r="S33" s="14">
        <f>SUMIF(Mercado_Receita!$T$2:$T$298,"44593B3Energia horáriaNão se aplicaNão se aplicaNão se aplicaNão se aplicaIntermediário",Mercado_Receita!$N$2:$N$298)</f>
        <v>0</v>
      </c>
      <c r="T33" s="14">
        <f>SUMIF(Mercado_Receita!$T$2:$T$298,"44621B3Energia horáriaNão se aplicaNão se aplicaNão se aplicaNão se aplicaIntermediário",Mercado_Receita!$N$2:$N$298)</f>
        <v>0</v>
      </c>
      <c r="U33" s="14">
        <f t="shared" si="0"/>
        <v>0</v>
      </c>
      <c r="V33" s="14"/>
      <c r="W33" s="14"/>
    </row>
    <row r="34" spans="1:23" ht="11.25" customHeight="1" x14ac:dyDescent="0.3">
      <c r="A34" s="107"/>
      <c r="B34" s="107"/>
      <c r="C34" s="107"/>
      <c r="D34" s="107"/>
      <c r="E34" s="107"/>
      <c r="F34" s="107"/>
      <c r="G34" s="14" t="s">
        <v>69</v>
      </c>
      <c r="H34" s="14" t="s">
        <v>67</v>
      </c>
      <c r="I34" s="14">
        <f>SUMIF(Mercado_Receita!$T$2:$T$298,"44287B3Energia horáriaNão se aplicaNão se aplicaNão se aplicaNão se aplicaFora ponta",Mercado_Receita!$N$2:$N$298)</f>
        <v>0</v>
      </c>
      <c r="J34" s="14">
        <f>SUMIF(Mercado_Receita!$T$2:$T$298,"44317B3Energia horáriaNão se aplicaNão se aplicaNão se aplicaNão se aplicaFora ponta",Mercado_Receita!$N$2:$N$298)</f>
        <v>0</v>
      </c>
      <c r="K34" s="14">
        <f>SUMIF(Mercado_Receita!$T$2:$T$298,"44348B3Energia horáriaNão se aplicaNão se aplicaNão se aplicaNão se aplicaFora ponta",Mercado_Receita!$N$2:$N$298)</f>
        <v>0</v>
      </c>
      <c r="L34" s="14">
        <f>SUMIF(Mercado_Receita!$T$2:$T$298,"44378B3Energia horáriaNão se aplicaNão se aplicaNão se aplicaNão se aplicaFora ponta",Mercado_Receita!$N$2:$N$298)</f>
        <v>0</v>
      </c>
      <c r="M34" s="14">
        <f>SUMIF(Mercado_Receita!$T$2:$T$298,"44409B3Energia horáriaNão se aplicaNão se aplicaNão se aplicaNão se aplicaFora ponta",Mercado_Receita!$N$2:$N$298)</f>
        <v>0</v>
      </c>
      <c r="N34" s="14">
        <f>SUMIF(Mercado_Receita!$T$2:$T$298,"44440B3Energia horáriaNão se aplicaNão se aplicaNão se aplicaNão se aplicaFora ponta",Mercado_Receita!$N$2:$N$298)</f>
        <v>0</v>
      </c>
      <c r="O34" s="14">
        <f>SUMIF(Mercado_Receita!$T$2:$T$298,"44470B3Energia horáriaNão se aplicaNão se aplicaNão se aplicaNão se aplicaFora ponta",Mercado_Receita!$N$2:$N$298)</f>
        <v>0</v>
      </c>
      <c r="P34" s="14">
        <f>SUMIF(Mercado_Receita!$T$2:$T$298,"44501B3Energia horáriaNão se aplicaNão se aplicaNão se aplicaNão se aplicaFora ponta",Mercado_Receita!$N$2:$N$298)</f>
        <v>0</v>
      </c>
      <c r="Q34" s="14">
        <f>SUMIF(Mercado_Receita!$T$2:$T$298,"44531B3Energia horáriaNão se aplicaNão se aplicaNão se aplicaNão se aplicaFora ponta",Mercado_Receita!$N$2:$N$298)</f>
        <v>0</v>
      </c>
      <c r="R34" s="14">
        <f>SUMIF(Mercado_Receita!$T$2:$T$298,"44562B3Energia horáriaNão se aplicaNão se aplicaNão se aplicaNão se aplicaFora ponta",Mercado_Receita!$N$2:$N$298)</f>
        <v>0</v>
      </c>
      <c r="S34" s="14">
        <f>SUMIF(Mercado_Receita!$T$2:$T$298,"44593B3Energia horáriaNão se aplicaNão se aplicaNão se aplicaNão se aplicaFora ponta",Mercado_Receita!$N$2:$N$298)</f>
        <v>0</v>
      </c>
      <c r="T34" s="14">
        <f>SUMIF(Mercado_Receita!$T$2:$T$298,"44621B3Energia horáriaNão se aplicaNão se aplicaNão se aplicaNão se aplicaFora ponta",Mercado_Receita!$N$2:$N$298)</f>
        <v>0</v>
      </c>
      <c r="U34" s="14">
        <f t="shared" si="0"/>
        <v>0</v>
      </c>
      <c r="V34" s="14"/>
      <c r="W34" s="14"/>
    </row>
    <row r="35" spans="1:23" ht="11.25" customHeight="1" x14ac:dyDescent="0.3">
      <c r="A35" s="107"/>
      <c r="B35" s="13" t="s">
        <v>81</v>
      </c>
      <c r="C35" s="13" t="s">
        <v>25</v>
      </c>
      <c r="D35" s="13" t="s">
        <v>25</v>
      </c>
      <c r="E35" s="13" t="s">
        <v>25</v>
      </c>
      <c r="F35" s="13" t="s">
        <v>25</v>
      </c>
      <c r="G35" s="14" t="s">
        <v>74</v>
      </c>
      <c r="H35" s="14" t="s">
        <v>67</v>
      </c>
      <c r="I35" s="14">
        <f>SUMIF(Mercado_Receita!$T$2:$T$298,"44287B3Energia convencionalNão se aplicaNão se aplicaNão se aplicaNão se aplicaNão se aplica",Mercado_Receita!$N$2:$N$298)</f>
        <v>492.34399999999999</v>
      </c>
      <c r="J35" s="14">
        <f>SUMIF(Mercado_Receita!$T$2:$T$298,"44317B3Energia convencionalNão se aplicaNão se aplicaNão se aplicaNão se aplicaNão se aplica",Mercado_Receita!$N$2:$N$298)</f>
        <v>459.23400000000004</v>
      </c>
      <c r="K35" s="14">
        <f>SUMIF(Mercado_Receita!$T$2:$T$298,"44348B3Energia convencionalNão se aplicaNão se aplicaNão se aplicaNão se aplicaNão se aplica",Mercado_Receita!$N$2:$N$298)</f>
        <v>479.62900000000002</v>
      </c>
      <c r="L35" s="14">
        <f>SUMIF(Mercado_Receita!$T$2:$T$298,"44378B3Energia convencionalNão se aplicaNão se aplicaNão se aplicaNão se aplicaNão se aplica",Mercado_Receita!$N$2:$N$298)</f>
        <v>445.56900000000002</v>
      </c>
      <c r="M35" s="14">
        <f>SUMIF(Mercado_Receita!$T$2:$T$298,"44409B3Energia convencionalNão se aplicaNão se aplicaNão se aplicaNão se aplicaNão se aplica",Mercado_Receita!$N$2:$N$298)</f>
        <v>491.42200000000003</v>
      </c>
      <c r="N35" s="14">
        <f>SUMIF(Mercado_Receita!$T$2:$T$298,"44440B3Energia convencionalNão se aplicaNão se aplicaNão se aplicaNão se aplicaNão se aplica",Mercado_Receita!$N$2:$N$298)</f>
        <v>536.55999999999995</v>
      </c>
      <c r="O35" s="14">
        <f>SUMIF(Mercado_Receita!$T$2:$T$298,"44470B3Energia convencionalNão se aplicaNão se aplicaNão se aplicaNão se aplicaNão se aplica",Mercado_Receita!$N$2:$N$298)</f>
        <v>542.54499999999996</v>
      </c>
      <c r="P35" s="14">
        <f>SUMIF(Mercado_Receita!$T$2:$T$298,"44501B3Energia convencionalNão se aplicaNão se aplicaNão se aplicaNão se aplicaNão se aplica",Mercado_Receita!$N$2:$N$298)</f>
        <v>584.60199999999998</v>
      </c>
      <c r="Q35" s="14">
        <f>SUMIF(Mercado_Receita!$T$2:$T$298,"44531B3Energia convencionalNão se aplicaNão se aplicaNão se aplicaNão se aplicaNão se aplica",Mercado_Receita!$N$2:$N$298)</f>
        <v>632.76300000000003</v>
      </c>
      <c r="R35" s="14">
        <f>SUMIF(Mercado_Receita!$T$2:$T$298,"44562B3Energia convencionalNão se aplicaNão se aplicaNão se aplicaNão se aplicaNão se aplica",Mercado_Receita!$N$2:$N$298)</f>
        <v>639.94600000000003</v>
      </c>
      <c r="S35" s="14">
        <f>SUMIF(Mercado_Receita!$T$2:$T$298,"44593B3Energia convencionalNão se aplicaNão se aplicaNão se aplicaNão se aplicaNão se aplica",Mercado_Receita!$N$2:$N$298)</f>
        <v>592.96400000000006</v>
      </c>
      <c r="T35" s="14">
        <f>SUMIF(Mercado_Receita!$T$2:$T$298,"44621B3Energia convencionalNão se aplicaNão se aplicaNão se aplicaNão se aplicaNão se aplica",Mercado_Receita!$N$2:$N$298)</f>
        <v>620.88599999999997</v>
      </c>
      <c r="U35" s="14">
        <f t="shared" si="0"/>
        <v>6518.4639999999999</v>
      </c>
      <c r="V35" s="14"/>
      <c r="W35" s="14"/>
    </row>
    <row r="36" spans="1:23" ht="11.25" customHeight="1" x14ac:dyDescent="0.3">
      <c r="A36" s="107"/>
      <c r="B36" s="13" t="s">
        <v>83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74</v>
      </c>
      <c r="H36" s="14" t="s">
        <v>67</v>
      </c>
      <c r="I36" s="14">
        <f>SUMIF(Mercado_Receita!$T$2:$T$298,"44287B3Energia convencional pré-pagamentoNão se aplicaNão se aplicaNão se aplicaNão se aplicaNão se aplica",Mercado_Receita!$N$2:$N$298)</f>
        <v>0</v>
      </c>
      <c r="J36" s="14">
        <f>SUMIF(Mercado_Receita!$T$2:$T$298,"44317B3Energia convencional pré-pagamentoNão se aplicaNão se aplicaNão se aplicaNão se aplicaNão se aplica",Mercado_Receita!$N$2:$N$298)</f>
        <v>0</v>
      </c>
      <c r="K36" s="14">
        <f>SUMIF(Mercado_Receita!$T$2:$T$298,"44348B3Energia convencional pré-pagamentoNão se aplicaNão se aplicaNão se aplicaNão se aplicaNão se aplica",Mercado_Receita!$N$2:$N$298)</f>
        <v>0</v>
      </c>
      <c r="L36" s="14">
        <f>SUMIF(Mercado_Receita!$T$2:$T$298,"44378B3Energia convencional pré-pagamentoNão se aplicaNão se aplicaNão se aplicaNão se aplicaNão se aplica",Mercado_Receita!$N$2:$N$298)</f>
        <v>0</v>
      </c>
      <c r="M36" s="14">
        <f>SUMIF(Mercado_Receita!$T$2:$T$298,"44409B3Energia convencional pré-pagamentoNão se aplicaNão se aplicaNão se aplicaNão se aplicaNão se aplica",Mercado_Receita!$N$2:$N$298)</f>
        <v>0</v>
      </c>
      <c r="N36" s="14">
        <f>SUMIF(Mercado_Receita!$T$2:$T$298,"44440B3Energia convencional pré-pagamentoNão se aplicaNão se aplicaNão se aplicaNão se aplicaNão se aplica",Mercado_Receita!$N$2:$N$298)</f>
        <v>0</v>
      </c>
      <c r="O36" s="14">
        <f>SUMIF(Mercado_Receita!$T$2:$T$298,"44470B3Energia convencional pré-pagamentoNão se aplicaNão se aplicaNão se aplicaNão se aplicaNão se aplica",Mercado_Receita!$N$2:$N$298)</f>
        <v>0</v>
      </c>
      <c r="P36" s="14">
        <f>SUMIF(Mercado_Receita!$T$2:$T$298,"44501B3Energia convencional pré-pagamentoNão se aplicaNão se aplicaNão se aplicaNão se aplicaNão se aplica",Mercado_Receita!$N$2:$N$298)</f>
        <v>0</v>
      </c>
      <c r="Q36" s="14">
        <f>SUMIF(Mercado_Receita!$T$2:$T$298,"44531B3Energia convencional pré-pagamentoNão se aplicaNão se aplicaNão se aplicaNão se aplicaNão se aplica",Mercado_Receita!$N$2:$N$298)</f>
        <v>0</v>
      </c>
      <c r="R36" s="14">
        <f>SUMIF(Mercado_Receita!$T$2:$T$298,"44562B3Energia convencional pré-pagamentoNão se aplicaNão se aplicaNão se aplicaNão se aplicaNão se aplica",Mercado_Receita!$N$2:$N$298)</f>
        <v>0</v>
      </c>
      <c r="S36" s="14">
        <f>SUMIF(Mercado_Receita!$T$2:$T$298,"44593B3Energia convencional pré-pagamentoNão se aplicaNão se aplicaNão se aplicaNão se aplicaNão se aplica",Mercado_Receita!$N$2:$N$298)</f>
        <v>0</v>
      </c>
      <c r="T36" s="14">
        <f>SUMIF(Mercado_Receita!$T$2:$T$298,"44621B3Energia convencional pré-pagamentoNão se aplicaNão se aplicaNão se aplicaNão se aplicaNão se aplica",Mercado_Receita!$N$2:$N$298)</f>
        <v>0</v>
      </c>
      <c r="U36" s="14">
        <f t="shared" si="0"/>
        <v>0</v>
      </c>
      <c r="V36" s="14"/>
      <c r="W36" s="14"/>
    </row>
    <row r="37" spans="1:23" ht="11.25" customHeight="1" x14ac:dyDescent="0.3">
      <c r="A37" s="106" t="s">
        <v>43</v>
      </c>
      <c r="B37" s="106" t="s">
        <v>81</v>
      </c>
      <c r="C37" s="106" t="s">
        <v>44</v>
      </c>
      <c r="D37" s="13" t="s">
        <v>45</v>
      </c>
      <c r="E37" s="13" t="s">
        <v>25</v>
      </c>
      <c r="F37" s="13" t="s">
        <v>25</v>
      </c>
      <c r="G37" s="14" t="s">
        <v>74</v>
      </c>
      <c r="H37" s="14" t="s">
        <v>67</v>
      </c>
      <c r="I37" s="14">
        <f>SUMIF(Mercado_Receita!$T$2:$T$298,"44287B4Energia convencionalIluminação públicaIluminação pública – B4aNão se aplicaNão se aplicaNão se aplica",Mercado_Receita!$N$2:$N$298)</f>
        <v>59.307000000000002</v>
      </c>
      <c r="J37" s="14">
        <f>SUMIF(Mercado_Receita!$T$2:$T$298,"44317B4Energia convencionalIluminação públicaIluminação pública – B4aNão se aplicaNão se aplicaNão se aplica",Mercado_Receita!$N$2:$N$298)</f>
        <v>58.252000000000002</v>
      </c>
      <c r="K37" s="14">
        <f>SUMIF(Mercado_Receita!$T$2:$T$298,"44348B4Energia convencionalIluminação públicaIluminação pública – B4aNão se aplicaNão se aplicaNão se aplica",Mercado_Receita!$N$2:$N$298)</f>
        <v>56.93</v>
      </c>
      <c r="L37" s="14">
        <f>SUMIF(Mercado_Receita!$T$2:$T$298,"44378B4Energia convencionalIluminação públicaIluminação pública – B4aNão se aplicaNão se aplicaNão se aplica",Mercado_Receita!$N$2:$N$298)</f>
        <v>58.279000000000003</v>
      </c>
      <c r="M37" s="14">
        <f>SUMIF(Mercado_Receita!$T$2:$T$298,"44409B4Energia convencionalIluminação públicaIluminação pública – B4aNão se aplicaNão se aplicaNão se aplica",Mercado_Receita!$N$2:$N$298)</f>
        <v>56.210999999999999</v>
      </c>
      <c r="N37" s="14">
        <f>SUMIF(Mercado_Receita!$T$2:$T$298,"44440B4Energia convencionalIluminação públicaIluminação pública – B4aNão se aplicaNão se aplicaNão se aplica",Mercado_Receita!$N$2:$N$298)</f>
        <v>51.582000000000001</v>
      </c>
      <c r="O37" s="14">
        <f>SUMIF(Mercado_Receita!$T$2:$T$298,"44470B4Energia convencionalIluminação públicaIluminação pública – B4aNão se aplicaNão se aplicaNão se aplica",Mercado_Receita!$N$2:$N$298)</f>
        <v>51.317999999999998</v>
      </c>
      <c r="P37" s="14">
        <f>SUMIF(Mercado_Receita!$T$2:$T$298,"44501B4Energia convencionalIluminação públicaIluminação pública – B4aNão se aplicaNão se aplicaNão se aplica",Mercado_Receita!$N$2:$N$298)</f>
        <v>52.271999999999998</v>
      </c>
      <c r="Q37" s="14">
        <f>SUMIF(Mercado_Receita!$T$2:$T$298,"44531B4Energia convencionalIluminação públicaIluminação pública – B4aNão se aplicaNão se aplicaNão se aplica",Mercado_Receita!$N$2:$N$298)</f>
        <v>58.875999999999998</v>
      </c>
      <c r="R37" s="14">
        <f>SUMIF(Mercado_Receita!$T$2:$T$298,"44562B4Energia convencionalIluminação públicaIluminação pública – B4aNão se aplicaNão se aplicaNão se aplica",Mercado_Receita!$N$2:$N$298)</f>
        <v>53.69</v>
      </c>
      <c r="S37" s="14">
        <f>SUMIF(Mercado_Receita!$T$2:$T$298,"44593B4Energia convencionalIluminação públicaIluminação pública – B4aNão se aplicaNão se aplicaNão se aplica",Mercado_Receita!$N$2:$N$298)</f>
        <v>50.51</v>
      </c>
      <c r="T37" s="14">
        <f>SUMIF(Mercado_Receita!$T$2:$T$298,"44621B4Energia convencionalIluminação públicaIluminação pública – B4aNão se aplicaNão se aplicaNão se aplica",Mercado_Receita!$N$2:$N$298)</f>
        <v>58.673999999999999</v>
      </c>
      <c r="U37" s="14">
        <f t="shared" si="0"/>
        <v>665.90099999999984</v>
      </c>
      <c r="V37" s="14"/>
      <c r="W37" s="14"/>
    </row>
    <row r="38" spans="1:23" ht="11.25" customHeight="1" x14ac:dyDescent="0.3">
      <c r="A38" s="107"/>
      <c r="B38" s="107"/>
      <c r="C38" s="107"/>
      <c r="D38" s="14" t="s">
        <v>87</v>
      </c>
      <c r="E38" s="14" t="s">
        <v>25</v>
      </c>
      <c r="F38" s="14" t="s">
        <v>25</v>
      </c>
      <c r="G38" s="14" t="s">
        <v>74</v>
      </c>
      <c r="H38" s="14" t="s">
        <v>67</v>
      </c>
      <c r="I38" s="14">
        <f>SUMIF(Mercado_Receita!$T$2:$T$298,"44287B4Energia convencionalIluminação públicaIluminação pública – B4bNão se aplicaNão se aplicaNão se aplica",Mercado_Receita!$N$2:$N$298)</f>
        <v>0</v>
      </c>
      <c r="J38" s="14">
        <f>SUMIF(Mercado_Receita!$T$2:$T$298,"44317B4Energia convencionalIluminação públicaIluminação pública – B4bNão se aplicaNão se aplicaNão se aplica",Mercado_Receita!$N$2:$N$298)</f>
        <v>0</v>
      </c>
      <c r="K38" s="14">
        <f>SUMIF(Mercado_Receita!$T$2:$T$298,"44348B4Energia convencionalIluminação públicaIluminação pública – B4bNão se aplicaNão se aplicaNão se aplica",Mercado_Receita!$N$2:$N$298)</f>
        <v>0</v>
      </c>
      <c r="L38" s="14">
        <f>SUMIF(Mercado_Receita!$T$2:$T$298,"44378B4Energia convencionalIluminação públicaIluminação pública – B4bNão se aplicaNão se aplicaNão se aplica",Mercado_Receita!$N$2:$N$298)</f>
        <v>0</v>
      </c>
      <c r="M38" s="14">
        <f>SUMIF(Mercado_Receita!$T$2:$T$298,"44409B4Energia convencionalIluminação públicaIluminação pública – B4bNão se aplicaNão se aplicaNão se aplica",Mercado_Receita!$N$2:$N$298)</f>
        <v>0</v>
      </c>
      <c r="N38" s="14">
        <f>SUMIF(Mercado_Receita!$T$2:$T$298,"44440B4Energia convencionalIluminação públicaIluminação pública – B4bNão se aplicaNão se aplicaNão se aplica",Mercado_Receita!$N$2:$N$298)</f>
        <v>0</v>
      </c>
      <c r="O38" s="14">
        <f>SUMIF(Mercado_Receita!$T$2:$T$298,"44470B4Energia convencionalIluminação públicaIluminação pública – B4bNão se aplicaNão se aplicaNão se aplica",Mercado_Receita!$N$2:$N$298)</f>
        <v>0</v>
      </c>
      <c r="P38" s="14">
        <f>SUMIF(Mercado_Receita!$T$2:$T$298,"44501B4Energia convencionalIluminação públicaIluminação pública – B4bNão se aplicaNão se aplicaNão se aplica",Mercado_Receita!$N$2:$N$298)</f>
        <v>0</v>
      </c>
      <c r="Q38" s="14">
        <f>SUMIF(Mercado_Receita!$T$2:$T$298,"44531B4Energia convencionalIluminação públicaIluminação pública – B4bNão se aplicaNão se aplicaNão se aplica",Mercado_Receita!$N$2:$N$298)</f>
        <v>0</v>
      </c>
      <c r="R38" s="14">
        <f>SUMIF(Mercado_Receita!$T$2:$T$298,"44562B4Energia convencionalIluminação públicaIluminação pública – B4bNão se aplicaNão se aplicaNão se aplica",Mercado_Receita!$N$2:$N$298)</f>
        <v>0</v>
      </c>
      <c r="S38" s="14">
        <f>SUMIF(Mercado_Receita!$T$2:$T$298,"44593B4Energia convencionalIluminação públicaIluminação pública – B4bNão se aplicaNão se aplicaNão se aplica",Mercado_Receita!$N$2:$N$298)</f>
        <v>0</v>
      </c>
      <c r="T38" s="14">
        <f>SUMIF(Mercado_Receita!$T$2:$T$298,"44621B4Energia convencionalIluminação públicaIluminação pública – B4bNão se aplicaNão se aplicaNão se aplica",Mercado_Receita!$N$2:$N$298)</f>
        <v>0</v>
      </c>
      <c r="U38" s="14">
        <f t="shared" si="0"/>
        <v>0</v>
      </c>
      <c r="V38" s="14"/>
      <c r="W38" s="14"/>
    </row>
    <row r="39" spans="1:23" ht="11.25" customHeight="1" x14ac:dyDescent="0.3">
      <c r="A39" s="108" t="s">
        <v>346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4"/>
      <c r="W39" s="14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250B-E82A-4F04-9C66-221C1F2FB030}">
  <dimension ref="A1:AD200"/>
  <sheetViews>
    <sheetView showGridLines="0" topLeftCell="A34" workbookViewId="0">
      <selection activeCell="H50" sqref="H50"/>
    </sheetView>
  </sheetViews>
  <sheetFormatPr defaultColWidth="9.109375" defaultRowHeight="12" customHeight="1" x14ac:dyDescent="0.2"/>
  <cols>
    <col min="1" max="1" width="10.5546875" style="16" bestFit="1" customWidth="1"/>
    <col min="2" max="2" width="14.44140625" style="16" bestFit="1" customWidth="1"/>
    <col min="3" max="3" width="18.44140625" style="16" bestFit="1" customWidth="1"/>
    <col min="4" max="4" width="15" style="16" bestFit="1" customWidth="1"/>
    <col min="5" max="5" width="14.5546875" style="16" bestFit="1" customWidth="1"/>
    <col min="6" max="6" width="4.44140625" style="16" bestFit="1" customWidth="1"/>
    <col min="7" max="7" width="9.109375" style="16"/>
    <col min="8" max="8" width="12" style="16" bestFit="1" customWidth="1"/>
    <col min="9" max="11" width="9.109375" style="16"/>
    <col min="12" max="12" width="34.109375" style="16" bestFit="1" customWidth="1"/>
    <col min="13" max="13" width="10" style="16" bestFit="1" customWidth="1"/>
    <col min="14" max="14" width="36.109375" style="16" bestFit="1" customWidth="1"/>
    <col min="15" max="15" width="30.6640625" style="16" customWidth="1"/>
    <col min="16" max="16" width="13.109375" style="16" bestFit="1" customWidth="1"/>
    <col min="17" max="17" width="9.33203125" style="16" bestFit="1" customWidth="1"/>
    <col min="18" max="18" width="9.44140625" style="16" bestFit="1" customWidth="1"/>
    <col min="19" max="19" width="12.5546875" style="16" bestFit="1" customWidth="1"/>
    <col min="20" max="20" width="15.44140625" style="16" bestFit="1" customWidth="1"/>
    <col min="21" max="21" width="10.88671875" style="16" bestFit="1" customWidth="1"/>
    <col min="22" max="22" width="13.33203125" style="16" bestFit="1" customWidth="1"/>
    <col min="23" max="23" width="5" style="16" bestFit="1" customWidth="1"/>
    <col min="24" max="24" width="49.44140625" style="16" bestFit="1" customWidth="1"/>
    <col min="25" max="26" width="5" style="16" bestFit="1" customWidth="1"/>
    <col min="27" max="27" width="2" style="16" bestFit="1" customWidth="1"/>
    <col min="28" max="16384" width="9.109375" style="16"/>
  </cols>
  <sheetData>
    <row r="1" spans="1:30" ht="12" customHeight="1" x14ac:dyDescent="0.2">
      <c r="A1" s="10" t="s">
        <v>385</v>
      </c>
      <c r="B1" s="10" t="s">
        <v>386</v>
      </c>
      <c r="C1" s="10" t="s">
        <v>387</v>
      </c>
      <c r="D1" s="10" t="s">
        <v>388</v>
      </c>
      <c r="E1" s="10" t="s">
        <v>389</v>
      </c>
      <c r="F1" s="10" t="s">
        <v>390</v>
      </c>
      <c r="G1" s="7"/>
      <c r="H1" s="7"/>
      <c r="I1" s="7"/>
      <c r="J1" s="7"/>
      <c r="K1" s="7"/>
      <c r="L1" s="120" t="s">
        <v>391</v>
      </c>
      <c r="M1" s="120"/>
      <c r="N1" s="7"/>
      <c r="O1" s="115" t="s">
        <v>478</v>
      </c>
      <c r="P1" s="116"/>
      <c r="Q1" s="116"/>
      <c r="R1" s="116"/>
      <c r="S1" s="116"/>
      <c r="T1" s="116"/>
      <c r="U1" s="11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10" t="s">
        <v>347</v>
      </c>
      <c r="B2" s="110" t="s">
        <v>348</v>
      </c>
      <c r="C2" s="18" t="s">
        <v>432</v>
      </c>
      <c r="D2" s="15">
        <v>940401.95930646476</v>
      </c>
      <c r="E2" s="15"/>
      <c r="F2" s="15"/>
      <c r="G2" s="17"/>
      <c r="H2" s="17"/>
      <c r="I2" s="17"/>
      <c r="J2" s="17"/>
      <c r="K2" s="17"/>
      <c r="L2" s="32" t="s">
        <v>392</v>
      </c>
      <c r="M2" s="88">
        <v>0.1497</v>
      </c>
      <c r="N2" s="17"/>
      <c r="O2" s="44" t="s">
        <v>479</v>
      </c>
      <c r="P2" s="44" t="s">
        <v>480</v>
      </c>
      <c r="Q2" s="44" t="s">
        <v>481</v>
      </c>
      <c r="R2" s="44" t="s">
        <v>36</v>
      </c>
      <c r="S2" s="44" t="s">
        <v>482</v>
      </c>
      <c r="T2" s="44" t="s">
        <v>77</v>
      </c>
      <c r="U2" s="44"/>
      <c r="V2" s="17"/>
      <c r="W2" s="17"/>
      <c r="X2" s="32" t="s">
        <v>445</v>
      </c>
      <c r="Y2" s="17"/>
      <c r="Z2" s="17"/>
      <c r="AA2" s="17" t="s">
        <v>490</v>
      </c>
      <c r="AB2" s="17"/>
      <c r="AC2" s="17"/>
      <c r="AD2" s="17"/>
    </row>
    <row r="3" spans="1:30" ht="12" customHeight="1" x14ac:dyDescent="0.2">
      <c r="A3" s="112"/>
      <c r="B3" s="112"/>
      <c r="C3" s="18" t="s">
        <v>349</v>
      </c>
      <c r="D3" s="15">
        <v>48815.20758835032</v>
      </c>
      <c r="E3" s="15">
        <v>-3035.8732116039228</v>
      </c>
      <c r="F3" s="15">
        <v>0</v>
      </c>
      <c r="G3" s="17"/>
      <c r="H3" s="17"/>
      <c r="I3" s="17"/>
      <c r="J3" s="17"/>
      <c r="K3" s="17"/>
      <c r="L3" s="32" t="s">
        <v>393</v>
      </c>
      <c r="M3" s="88"/>
      <c r="N3" s="17"/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 t="s">
        <v>483</v>
      </c>
      <c r="V3" s="17"/>
      <c r="W3" s="17"/>
      <c r="X3" s="32" t="s">
        <v>446</v>
      </c>
      <c r="Y3" s="17"/>
      <c r="Z3" s="17"/>
      <c r="AA3" s="17">
        <v>0</v>
      </c>
      <c r="AB3" s="17"/>
      <c r="AC3" s="17"/>
      <c r="AD3" s="17"/>
    </row>
    <row r="4" spans="1:30" ht="12" customHeight="1" x14ac:dyDescent="0.2">
      <c r="A4" s="112"/>
      <c r="B4" s="112"/>
      <c r="C4" s="18" t="s">
        <v>350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7"/>
      <c r="H4" s="17"/>
      <c r="I4" s="17"/>
      <c r="J4" s="17"/>
      <c r="K4" s="17"/>
      <c r="L4" s="32" t="s">
        <v>394</v>
      </c>
      <c r="M4" s="88">
        <v>0.14770521805468251</v>
      </c>
      <c r="N4" s="17"/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 t="s">
        <v>76</v>
      </c>
      <c r="V4" s="17"/>
      <c r="W4" s="17"/>
      <c r="X4" s="17"/>
      <c r="Y4" s="17"/>
      <c r="Z4" s="17"/>
      <c r="AA4" s="17"/>
      <c r="AB4" s="17"/>
      <c r="AC4" s="17"/>
      <c r="AD4" s="17"/>
    </row>
    <row r="5" spans="1:30" ht="12" customHeight="1" x14ac:dyDescent="0.2">
      <c r="A5" s="112"/>
      <c r="B5" s="112"/>
      <c r="C5" s="18" t="s">
        <v>351</v>
      </c>
      <c r="D5" s="15">
        <v>0</v>
      </c>
      <c r="E5" s="15"/>
      <c r="F5" s="15"/>
      <c r="G5" s="17"/>
      <c r="H5" s="17"/>
      <c r="I5" s="17"/>
      <c r="J5" s="17"/>
      <c r="K5" s="17"/>
      <c r="L5" s="32" t="s">
        <v>395</v>
      </c>
      <c r="M5" s="88">
        <v>1E-14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2" customHeight="1" x14ac:dyDescent="0.2">
      <c r="A6" s="112"/>
      <c r="B6" s="112"/>
      <c r="C6" s="18" t="s">
        <v>352</v>
      </c>
      <c r="D6" s="15">
        <v>0</v>
      </c>
      <c r="E6" s="15">
        <v>0</v>
      </c>
      <c r="F6" s="15">
        <v>0</v>
      </c>
      <c r="G6" s="17"/>
      <c r="H6" s="17"/>
      <c r="I6" s="17"/>
      <c r="J6" s="17"/>
      <c r="K6" s="17"/>
      <c r="L6" s="32" t="s">
        <v>396</v>
      </c>
      <c r="M6" s="88">
        <v>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2" customHeight="1" x14ac:dyDescent="0.2">
      <c r="A7" s="112"/>
      <c r="B7" s="112"/>
      <c r="C7" s="18" t="s">
        <v>353</v>
      </c>
      <c r="D7" s="15">
        <v>1670551.4433299995</v>
      </c>
      <c r="E7" s="15">
        <v>-144857.12853692571</v>
      </c>
      <c r="F7" s="15">
        <v>0</v>
      </c>
      <c r="G7" s="17"/>
      <c r="H7" s="17"/>
      <c r="I7" s="17"/>
      <c r="J7" s="17"/>
      <c r="K7" s="17"/>
      <c r="L7" s="32" t="s">
        <v>397</v>
      </c>
      <c r="M7" s="32">
        <f>M8+M9+M10+M11</f>
        <v>2147.6870000000017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2" customHeight="1" x14ac:dyDescent="0.2">
      <c r="A8" s="112"/>
      <c r="B8" s="112"/>
      <c r="C8" s="18" t="s">
        <v>354</v>
      </c>
      <c r="D8" s="15">
        <v>283354.38656999997</v>
      </c>
      <c r="E8" s="15">
        <v>-12708.347033321957</v>
      </c>
      <c r="F8" s="15">
        <v>0</v>
      </c>
      <c r="G8" s="17"/>
      <c r="H8" s="17"/>
      <c r="I8" s="17"/>
      <c r="J8" s="17"/>
      <c r="K8" s="17"/>
      <c r="L8" s="89" t="s">
        <v>398</v>
      </c>
      <c r="M8" s="32">
        <v>1879.5219878344262</v>
      </c>
      <c r="N8" s="17"/>
      <c r="O8" s="32" t="s">
        <v>431</v>
      </c>
      <c r="P8" s="45">
        <v>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2" customHeight="1" x14ac:dyDescent="0.2">
      <c r="A9" s="112"/>
      <c r="B9" s="112"/>
      <c r="C9" s="18" t="s">
        <v>355</v>
      </c>
      <c r="D9" s="15"/>
      <c r="E9" s="15"/>
      <c r="F9" s="15"/>
      <c r="G9" s="17"/>
      <c r="H9" s="17"/>
      <c r="I9" s="17"/>
      <c r="J9" s="17"/>
      <c r="K9" s="17"/>
      <c r="L9" s="90" t="s">
        <v>399</v>
      </c>
      <c r="M9" s="32">
        <v>268.16501216557543</v>
      </c>
      <c r="N9" s="17"/>
      <c r="O9" s="32" t="s">
        <v>436</v>
      </c>
      <c r="P9" s="45">
        <f>SUM(Mercado_Receita!$J$2:$J$298)</f>
        <v>15118</v>
      </c>
      <c r="Q9" s="45">
        <v>15118</v>
      </c>
      <c r="R9" s="45" t="str">
        <f>IF(ABS(P9-Q9)&gt;1,"ERRO BADNET","OK BADNET")</f>
        <v>OK BADNET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2" customHeight="1" x14ac:dyDescent="0.2">
      <c r="A10" s="112"/>
      <c r="B10" s="111"/>
      <c r="C10" s="18" t="s">
        <v>356</v>
      </c>
      <c r="D10" s="15">
        <f>SUM(D$2:D9)</f>
        <v>2943122.9967948147</v>
      </c>
      <c r="E10" s="15">
        <f>SUM(E$2:E9)</f>
        <v>-160601.34878185159</v>
      </c>
      <c r="F10" s="15">
        <f>SUM(F$2:F9)</f>
        <v>0</v>
      </c>
      <c r="G10" s="17"/>
      <c r="H10" s="17"/>
      <c r="I10" s="17"/>
      <c r="J10" s="17"/>
      <c r="K10" s="17"/>
      <c r="L10" s="89" t="s">
        <v>400</v>
      </c>
      <c r="M10" s="32">
        <v>0</v>
      </c>
      <c r="N10" s="17"/>
      <c r="O10" s="32" t="s">
        <v>437</v>
      </c>
      <c r="P10" s="45">
        <f>SUM(Mercado_Receita!$L$2:$L$298)</f>
        <v>20250.910000000007</v>
      </c>
      <c r="Q10" s="45">
        <v>20250.91</v>
      </c>
      <c r="R10" s="45" t="str">
        <f>IF(ABS(P10-Q10)&gt;1,"ERRO BADNET","OK BADNET")</f>
        <v>OK BADNET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2" customHeight="1" x14ac:dyDescent="0.2">
      <c r="A11" s="112"/>
      <c r="B11" s="110" t="s">
        <v>357</v>
      </c>
      <c r="C11" s="18" t="s">
        <v>358</v>
      </c>
      <c r="D11" s="15">
        <v>0</v>
      </c>
      <c r="E11" s="15">
        <v>0</v>
      </c>
      <c r="F11" s="15">
        <f>IF((+$D$11+$D$12+$D$16+$D$17+$D$38)&lt;&gt;0,$M$19*$D$11/(+$D$11+$D$12+$D$16+$D$17+$D$38),0)</f>
        <v>0</v>
      </c>
      <c r="G11" s="17"/>
      <c r="H11" s="17"/>
      <c r="I11" s="17"/>
      <c r="J11" s="17"/>
      <c r="K11" s="17"/>
      <c r="L11" s="89" t="s">
        <v>401</v>
      </c>
      <c r="M11" s="32">
        <v>0</v>
      </c>
      <c r="N11" s="17"/>
      <c r="O11" s="32" t="s">
        <v>438</v>
      </c>
      <c r="P11" s="45">
        <f>SUM(Mercado_Receita!$N$2:$N$298)</f>
        <v>20250.910000000007</v>
      </c>
      <c r="Q11" s="45">
        <v>20250.91</v>
      </c>
      <c r="R11" s="45" t="str">
        <f>IF(ABS(P11-Q11)&gt;1,"ERRO BADNET","OK BADNET")</f>
        <v>OK BADNET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2" customHeight="1" x14ac:dyDescent="0.2">
      <c r="A12" s="112"/>
      <c r="B12" s="112"/>
      <c r="C12" s="18" t="s">
        <v>359</v>
      </c>
      <c r="D12" s="15">
        <v>0</v>
      </c>
      <c r="E12" s="15">
        <v>0</v>
      </c>
      <c r="F12" s="15">
        <f>IF((+$D$11+$D$12+$D$16+$D$17+$D$38)&lt;&gt;0,$M$19*$D$12/(+$D$11+$D$12+$D$16+$D$17+$D$38),0)</f>
        <v>0</v>
      </c>
      <c r="G12" s="17"/>
      <c r="H12" s="17"/>
      <c r="I12" s="17"/>
      <c r="J12" s="17"/>
      <c r="K12" s="17"/>
      <c r="L12" s="32" t="s">
        <v>402</v>
      </c>
      <c r="M12" s="32">
        <v>22398.596999999998</v>
      </c>
      <c r="N12" s="17"/>
      <c r="O12" s="32" t="s">
        <v>439</v>
      </c>
      <c r="P12" s="45">
        <f>SUMIF('MERCADO TUSD'!$H$2:$H$48,"kW",'MERCADO TUSD'!$U$2:$U$48)</f>
        <v>15118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2" customHeight="1" x14ac:dyDescent="0.2">
      <c r="A13" s="112"/>
      <c r="B13" s="112"/>
      <c r="C13" s="18" t="s">
        <v>360</v>
      </c>
      <c r="D13" s="15">
        <f>-$M$51+0</f>
        <v>0</v>
      </c>
      <c r="E13" s="15"/>
      <c r="F13" s="15"/>
      <c r="G13" s="17"/>
      <c r="H13" s="17"/>
      <c r="I13" s="17"/>
      <c r="J13" s="17"/>
      <c r="K13" s="17"/>
      <c r="L13" s="32" t="s">
        <v>403</v>
      </c>
      <c r="M13" s="32">
        <v>356.28808964173032</v>
      </c>
      <c r="N13" s="17"/>
      <c r="O13" s="32" t="s">
        <v>440</v>
      </c>
      <c r="P13" s="45">
        <f>SUMIF('MERCADO TUSD'!$H$2:$H$48,"MWh",'MERCADO TUSD'!$U$2:$U$48)</f>
        <v>20250.910000000003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2" customHeight="1" x14ac:dyDescent="0.2">
      <c r="A14" s="112"/>
      <c r="B14" s="112"/>
      <c r="C14" s="18" t="s">
        <v>361</v>
      </c>
      <c r="D14" s="15"/>
      <c r="E14" s="15"/>
      <c r="F14" s="15"/>
      <c r="G14" s="17"/>
      <c r="H14" s="17"/>
      <c r="I14" s="17"/>
      <c r="J14" s="17"/>
      <c r="K14" s="17"/>
      <c r="L14" s="32" t="s">
        <v>404</v>
      </c>
      <c r="M14" s="32">
        <v>179.63073273506774</v>
      </c>
      <c r="N14" s="17"/>
      <c r="O14" s="32" t="s">
        <v>441</v>
      </c>
      <c r="P14" s="45">
        <f>SUMIF('MERCADO TE'!$H$2:$H$38,"MWh",'MERCADO TE'!$U$2:$U$38)</f>
        <v>20250.910000000003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2" customHeight="1" x14ac:dyDescent="0.2">
      <c r="A15" s="112"/>
      <c r="B15" s="112"/>
      <c r="C15" s="18" t="s">
        <v>362</v>
      </c>
      <c r="D15" s="15">
        <v>5653993.3905727211</v>
      </c>
      <c r="E15" s="15">
        <v>1764642.8512380794</v>
      </c>
      <c r="F15" s="15">
        <v>0</v>
      </c>
      <c r="G15" s="17"/>
      <c r="H15" s="17"/>
      <c r="I15" s="17"/>
      <c r="J15" s="17"/>
      <c r="K15" s="17"/>
      <c r="L15" s="32" t="s">
        <v>405</v>
      </c>
      <c r="M15" s="32">
        <f>M14*M12</f>
        <v>4023476.3913474898</v>
      </c>
      <c r="N15" s="17"/>
      <c r="O15" s="32" t="s">
        <v>442</v>
      </c>
      <c r="P15" s="45" t="str">
        <f>IF(ABS(P9-P12)&gt;1,"ERRO","OK")</f>
        <v>OK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2" customHeight="1" x14ac:dyDescent="0.2">
      <c r="A16" s="112"/>
      <c r="B16" s="112"/>
      <c r="C16" s="18" t="s">
        <v>363</v>
      </c>
      <c r="D16" s="15">
        <v>0</v>
      </c>
      <c r="E16" s="15"/>
      <c r="F16" s="15">
        <f>IF((+$D$11+$D$12+$D$16+$D$17+$D$38)&lt;&gt;0,$M$19*$D$16/(+$D$11+$D$12+$D$16+$D$17+$D$38),0)</f>
        <v>0</v>
      </c>
      <c r="G16" s="17"/>
      <c r="H16" s="17"/>
      <c r="I16" s="17"/>
      <c r="J16" s="17"/>
      <c r="K16" s="17"/>
      <c r="L16" s="32" t="s">
        <v>406</v>
      </c>
      <c r="M16" s="32">
        <v>955847.741969147</v>
      </c>
      <c r="N16" s="17"/>
      <c r="O16" s="32" t="s">
        <v>443</v>
      </c>
      <c r="P16" s="45" t="str">
        <f>IF(ABS(P10-P13)&gt;1,"ERRO","OK")</f>
        <v>OK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2" customHeight="1" x14ac:dyDescent="0.2">
      <c r="A17" s="112"/>
      <c r="B17" s="112"/>
      <c r="C17" s="18" t="s">
        <v>364</v>
      </c>
      <c r="D17" s="15">
        <v>0</v>
      </c>
      <c r="E17" s="15"/>
      <c r="F17" s="15">
        <f>IF((+$D$11+$D$12+$D$16+$D$17+$D$38)&lt;&gt;0,$M$19*$D$17/(+$D$11+$D$12+$D$16+$D$17+$D$38),0)</f>
        <v>0</v>
      </c>
      <c r="G17" s="17"/>
      <c r="H17" s="17"/>
      <c r="I17" s="17"/>
      <c r="J17" s="17"/>
      <c r="K17" s="17"/>
      <c r="L17" s="32" t="s">
        <v>407</v>
      </c>
      <c r="M17" s="32">
        <v>0</v>
      </c>
      <c r="N17" s="17"/>
      <c r="O17" s="32" t="s">
        <v>444</v>
      </c>
      <c r="P17" s="45" t="str">
        <f>IF(ABS(P11-P14)&gt;1,"ERRO","OK")</f>
        <v>OK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2" customHeight="1" x14ac:dyDescent="0.2">
      <c r="A18" s="112"/>
      <c r="B18" s="111"/>
      <c r="C18" s="18" t="s">
        <v>356</v>
      </c>
      <c r="D18" s="15">
        <f>SUM(D$11:D17)</f>
        <v>5653993.3905727211</v>
      </c>
      <c r="E18" s="15">
        <f>SUM(E$11:E17)</f>
        <v>1764642.8512380794</v>
      </c>
      <c r="F18" s="15">
        <f>SUM(F$11:F17)</f>
        <v>0</v>
      </c>
      <c r="G18" s="17"/>
      <c r="H18" s="17"/>
      <c r="I18" s="17"/>
      <c r="J18" s="17"/>
      <c r="K18" s="17"/>
      <c r="L18" s="32" t="s">
        <v>408</v>
      </c>
      <c r="M18" s="3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2" customHeight="1" x14ac:dyDescent="0.2">
      <c r="A19" s="112"/>
      <c r="B19" s="110" t="s">
        <v>365</v>
      </c>
      <c r="C19" s="18" t="s">
        <v>366</v>
      </c>
      <c r="D19" s="15">
        <v>9779497.2699999996</v>
      </c>
      <c r="E19" s="15">
        <v>-320580.44753324438</v>
      </c>
      <c r="F19" s="15">
        <v>0</v>
      </c>
      <c r="G19" s="17"/>
      <c r="H19" s="17"/>
      <c r="I19" s="17"/>
      <c r="J19" s="17"/>
      <c r="K19" s="17"/>
      <c r="L19" s="32" t="s">
        <v>409</v>
      </c>
      <c r="M19" s="32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2" customHeight="1" x14ac:dyDescent="0.2">
      <c r="A20" s="112"/>
      <c r="B20" s="111"/>
      <c r="C20" s="18" t="s">
        <v>356</v>
      </c>
      <c r="D20" s="15">
        <f>SUM(D$19:D19)</f>
        <v>9779497.2699999996</v>
      </c>
      <c r="E20" s="15">
        <f>SUM(E$19:E19)</f>
        <v>-320580.44753324438</v>
      </c>
      <c r="F20" s="15">
        <f>SUM(F$19:F19)</f>
        <v>0</v>
      </c>
      <c r="G20" s="17"/>
      <c r="H20" s="17"/>
      <c r="I20" s="17"/>
      <c r="J20" s="17"/>
      <c r="K20" s="17"/>
      <c r="L20" s="32" t="s">
        <v>410</v>
      </c>
      <c r="M20" s="32">
        <v>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2" customHeight="1" x14ac:dyDescent="0.2">
      <c r="A21" s="112"/>
      <c r="B21" s="110" t="s">
        <v>367</v>
      </c>
      <c r="C21" s="18" t="s">
        <v>368</v>
      </c>
      <c r="D21" s="15"/>
      <c r="E21" s="15">
        <f>IF($D$46&lt;&gt;0,(1-$D$45/$D$46)*0,0)+0</f>
        <v>0</v>
      </c>
      <c r="F21" s="15"/>
      <c r="G21" s="17"/>
      <c r="H21" s="17"/>
      <c r="I21" s="17"/>
      <c r="J21" s="17"/>
      <c r="K21" s="17"/>
      <c r="L21" s="32" t="s">
        <v>411</v>
      </c>
      <c r="M21" s="32">
        <v>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2" customHeight="1" x14ac:dyDescent="0.2">
      <c r="A22" s="112"/>
      <c r="B22" s="112"/>
      <c r="C22" s="18" t="s">
        <v>369</v>
      </c>
      <c r="D22" s="15"/>
      <c r="E22" s="15"/>
      <c r="F22" s="15"/>
      <c r="G22" s="17"/>
      <c r="H22" s="17"/>
      <c r="I22" s="17"/>
      <c r="J22" s="17"/>
      <c r="K22" s="17"/>
      <c r="L22" s="32" t="s">
        <v>433</v>
      </c>
      <c r="M22" s="32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2" customHeight="1" x14ac:dyDescent="0.2">
      <c r="A23" s="112"/>
      <c r="B23" s="111"/>
      <c r="C23" s="18" t="s">
        <v>356</v>
      </c>
      <c r="D23" s="15">
        <f>SUM(D$21:D22)</f>
        <v>0</v>
      </c>
      <c r="E23" s="15">
        <f>SUM(E$21:E22)</f>
        <v>0</v>
      </c>
      <c r="F23" s="15">
        <f>SUM(F$21:F22)</f>
        <v>0</v>
      </c>
      <c r="G23" s="17"/>
      <c r="H23" s="17"/>
      <c r="I23" s="17"/>
      <c r="J23" s="17"/>
      <c r="K23" s="17"/>
      <c r="L23" s="32" t="s">
        <v>412</v>
      </c>
      <c r="M23" s="32">
        <v>11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2" customHeight="1" x14ac:dyDescent="0.2">
      <c r="A24" s="112"/>
      <c r="B24" s="110" t="s">
        <v>370</v>
      </c>
      <c r="C24" s="18" t="s">
        <v>371</v>
      </c>
      <c r="D24" s="15">
        <f>$M$14*$M$8</f>
        <v>337619.91186636908</v>
      </c>
      <c r="E24" s="15">
        <f>$M$16*$M$8/$M$12</f>
        <v>80207.561574186955</v>
      </c>
      <c r="F24" s="15">
        <f>$M$17*$M$8/$M$12</f>
        <v>0</v>
      </c>
      <c r="G24" s="17"/>
      <c r="H24" s="17"/>
      <c r="I24" s="17"/>
      <c r="J24" s="17"/>
      <c r="K24" s="17"/>
      <c r="L24" s="32" t="s">
        <v>413</v>
      </c>
      <c r="M24" s="32">
        <v>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2" customHeight="1" x14ac:dyDescent="0.2">
      <c r="A25" s="112"/>
      <c r="B25" s="112"/>
      <c r="C25" s="18" t="s">
        <v>372</v>
      </c>
      <c r="D25" s="15">
        <f>$M$14*$M$10</f>
        <v>0</v>
      </c>
      <c r="E25" s="15">
        <f>$M$16*$M$10/$M$12</f>
        <v>0</v>
      </c>
      <c r="F25" s="15">
        <f>$M$17*$M$10/$M$12</f>
        <v>0</v>
      </c>
      <c r="G25" s="17"/>
      <c r="H25" s="17"/>
      <c r="I25" s="17"/>
      <c r="J25" s="17"/>
      <c r="K25" s="17"/>
      <c r="L25" s="32" t="s">
        <v>414</v>
      </c>
      <c r="M25" s="32">
        <v>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2" customHeight="1" x14ac:dyDescent="0.2">
      <c r="A26" s="112"/>
      <c r="B26" s="112"/>
      <c r="C26" s="18" t="s">
        <v>373</v>
      </c>
      <c r="D26" s="15">
        <f>$M$14*$M$9</f>
        <v>48170.677629210666</v>
      </c>
      <c r="E26" s="15">
        <f>$M$16*$M$9/$M$12</f>
        <v>11443.793615894519</v>
      </c>
      <c r="F26" s="15">
        <f>$M$17*$M$9/$M$12</f>
        <v>0</v>
      </c>
      <c r="G26" s="17"/>
      <c r="H26" s="17"/>
      <c r="I26" s="17"/>
      <c r="J26" s="17"/>
      <c r="K26" s="17"/>
      <c r="L26" s="32" t="s">
        <v>415</v>
      </c>
      <c r="M26" s="32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2" customHeight="1" x14ac:dyDescent="0.2">
      <c r="A27" s="112"/>
      <c r="B27" s="112"/>
      <c r="C27" s="18" t="s">
        <v>374</v>
      </c>
      <c r="D27" s="15"/>
      <c r="E27" s="15"/>
      <c r="F27" s="15"/>
      <c r="G27" s="17"/>
      <c r="H27" s="17"/>
      <c r="I27" s="17"/>
      <c r="J27" s="17"/>
      <c r="K27" s="17"/>
      <c r="L27" s="32" t="s">
        <v>416</v>
      </c>
      <c r="M27" s="32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2" customHeight="1" x14ac:dyDescent="0.2">
      <c r="A28" s="112"/>
      <c r="B28" s="111"/>
      <c r="C28" s="18" t="s">
        <v>356</v>
      </c>
      <c r="D28" s="15">
        <f>SUM(D$24:D27)</f>
        <v>385790.58949557971</v>
      </c>
      <c r="E28" s="15">
        <f>SUM(E$24:E27)</f>
        <v>91651.355190081478</v>
      </c>
      <c r="F28" s="15">
        <f>SUM(F$24:F27)</f>
        <v>0</v>
      </c>
      <c r="G28" s="17"/>
      <c r="H28" s="17"/>
      <c r="I28" s="17"/>
      <c r="J28" s="17"/>
      <c r="K28" s="17"/>
      <c r="L28" s="32" t="s">
        <v>417</v>
      </c>
      <c r="M28" s="32">
        <v>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2" customHeight="1" x14ac:dyDescent="0.2">
      <c r="A29" s="111"/>
      <c r="B29" s="113" t="s">
        <v>356</v>
      </c>
      <c r="C29" s="114"/>
      <c r="D29" s="15">
        <f>SUMIF(C$2:C28,"SUBTOTAL",D$2:D28)</f>
        <v>18762404.246863116</v>
      </c>
      <c r="E29" s="15">
        <f>SUMIF(C$2:C28,"SUBTOTAL",E$2:E28)</f>
        <v>1375112.410113065</v>
      </c>
      <c r="F29" s="15">
        <f>SUMIF(C$2:C28,"SUBTOTAL",F$2:F28)</f>
        <v>0</v>
      </c>
      <c r="G29" s="17"/>
      <c r="H29" s="17"/>
      <c r="I29" s="17"/>
      <c r="J29" s="17"/>
      <c r="K29" s="17"/>
      <c r="L29" s="32" t="s">
        <v>418</v>
      </c>
      <c r="M29" s="32">
        <v>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2" customHeight="1" x14ac:dyDescent="0.2">
      <c r="A30" s="110" t="s">
        <v>375</v>
      </c>
      <c r="B30" s="110" t="s">
        <v>348</v>
      </c>
      <c r="C30" s="18" t="s">
        <v>350</v>
      </c>
      <c r="D30" s="15">
        <f>IFERROR($M$5*(+D$31+D$32+D$33+D$35+D$37+D$38+D$39+D$43)+($M$5^2)*(+D$31+D$32+D$33+D$35+D$37+D$38+D$39+D$43)/$M$22*(+$E$2+$F$2+$E$3+$F$3+$E$8+$F$8+$E$9+$F$9+$E$11+$F$11+$E$12+$F$12+$E$13+$F$13+$E$14+$F$14+$E$15+$F$15+$E$16+$F$16+$E$17+$F$17+$E$19+$F$19+$E$22+$F$22+$E$24+$F$24+$E$25+$F$25+$E$26+$F$26+$E$27+$F$27+$E$31+$F$31+$E$32+$F$32+$E$33+$F$33+$E$35+$F$35+$E$37+$F$37+$E$38+$F$38+$E$39+$F$39+$E$43+$F$43)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7"/>
      <c r="H30" s="17"/>
      <c r="I30" s="17"/>
      <c r="J30" s="17"/>
      <c r="K30" s="17"/>
      <c r="L30" s="32" t="s">
        <v>419</v>
      </c>
      <c r="M30" s="3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2" customHeight="1" x14ac:dyDescent="0.2">
      <c r="A31" s="112"/>
      <c r="B31" s="112"/>
      <c r="C31" s="18" t="s">
        <v>376</v>
      </c>
      <c r="D31" s="15">
        <v>0</v>
      </c>
      <c r="E31" s="15">
        <v>0</v>
      </c>
      <c r="F31" s="15">
        <v>0</v>
      </c>
      <c r="G31" s="17"/>
      <c r="H31" s="17"/>
      <c r="I31" s="17"/>
      <c r="J31" s="17"/>
      <c r="K31" s="17"/>
      <c r="L31" s="32" t="s">
        <v>420</v>
      </c>
      <c r="M31" s="32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2" customHeight="1" x14ac:dyDescent="0.2">
      <c r="A32" s="112"/>
      <c r="B32" s="112"/>
      <c r="C32" s="18" t="s">
        <v>377</v>
      </c>
      <c r="D32" s="15">
        <v>0</v>
      </c>
      <c r="E32" s="15">
        <v>0</v>
      </c>
      <c r="F32" s="15">
        <v>0</v>
      </c>
      <c r="G32" s="17"/>
      <c r="H32" s="17"/>
      <c r="I32" s="17"/>
      <c r="J32" s="17"/>
      <c r="K32" s="17"/>
      <c r="L32" s="32" t="s">
        <v>421</v>
      </c>
      <c r="M32" s="32">
        <v>0.47</v>
      </c>
      <c r="N32" s="17">
        <v>0.45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2" customHeight="1" x14ac:dyDescent="0.2">
      <c r="A33" s="112"/>
      <c r="B33" s="112"/>
      <c r="C33" s="18" t="s">
        <v>435</v>
      </c>
      <c r="D33" s="15"/>
      <c r="E33" s="15">
        <v>0</v>
      </c>
      <c r="F33" s="15">
        <v>0</v>
      </c>
      <c r="G33" s="17"/>
      <c r="H33" s="17"/>
      <c r="I33" s="17"/>
      <c r="J33" s="17"/>
      <c r="K33" s="17"/>
      <c r="L33" s="32" t="s">
        <v>422</v>
      </c>
      <c r="M33" s="32">
        <v>0.42</v>
      </c>
      <c r="N33" s="17">
        <v>0.4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2" customHeight="1" x14ac:dyDescent="0.2">
      <c r="A34" s="112"/>
      <c r="B34" s="111"/>
      <c r="C34" s="18" t="s">
        <v>356</v>
      </c>
      <c r="D34" s="15">
        <f>SUM(D$30:D33)</f>
        <v>0</v>
      </c>
      <c r="E34" s="15">
        <f>SUM(E$30:E33)</f>
        <v>0</v>
      </c>
      <c r="F34" s="15">
        <f>SUM(F$30:F33)</f>
        <v>0</v>
      </c>
      <c r="G34" s="17"/>
      <c r="H34" s="17"/>
      <c r="I34" s="17"/>
      <c r="J34" s="17"/>
      <c r="K34" s="17"/>
      <c r="L34" s="32" t="s">
        <v>423</v>
      </c>
      <c r="M34" s="32">
        <v>0.65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2" customHeight="1" x14ac:dyDescent="0.2">
      <c r="A35" s="112"/>
      <c r="B35" s="110" t="s">
        <v>378</v>
      </c>
      <c r="C35" s="18" t="s">
        <v>379</v>
      </c>
      <c r="D35" s="15">
        <f>$M$14*($M$12-$M$7)</f>
        <v>3637685.8018519101</v>
      </c>
      <c r="E35" s="15">
        <f>$M$16*($M$12-$M$7)/$M$12</f>
        <v>864196.38677906559</v>
      </c>
      <c r="F35" s="15">
        <f>$M$17*($M$12-$M$7)/$M$12</f>
        <v>0</v>
      </c>
      <c r="G35" s="17"/>
      <c r="H35" s="17"/>
      <c r="I35" s="17"/>
      <c r="J35" s="17"/>
      <c r="K35" s="17"/>
      <c r="L35" s="32" t="s">
        <v>424</v>
      </c>
      <c r="M35" s="32">
        <v>0.4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2" customHeight="1" x14ac:dyDescent="0.2">
      <c r="A36" s="112"/>
      <c r="B36" s="111"/>
      <c r="C36" s="18" t="s">
        <v>356</v>
      </c>
      <c r="D36" s="15">
        <f>SUM(D$35:D35)</f>
        <v>3637685.8018519101</v>
      </c>
      <c r="E36" s="15">
        <f>SUM(E$35:E35)</f>
        <v>864196.38677906559</v>
      </c>
      <c r="F36" s="15">
        <f>SUM(F$35:F35)</f>
        <v>0</v>
      </c>
      <c r="G36" s="17"/>
      <c r="H36" s="17"/>
      <c r="I36" s="17"/>
      <c r="J36" s="17"/>
      <c r="K36" s="17"/>
      <c r="L36" s="32" t="s">
        <v>425</v>
      </c>
      <c r="M36" s="32">
        <v>0.1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2" customHeight="1" x14ac:dyDescent="0.2">
      <c r="A37" s="112"/>
      <c r="B37" s="110" t="s">
        <v>357</v>
      </c>
      <c r="C37" s="18" t="s">
        <v>380</v>
      </c>
      <c r="D37" s="15">
        <v>0</v>
      </c>
      <c r="E37" s="15">
        <v>0</v>
      </c>
      <c r="F37" s="15">
        <v>0</v>
      </c>
      <c r="G37" s="17"/>
      <c r="H37" s="17"/>
      <c r="I37" s="17"/>
      <c r="J37" s="17"/>
      <c r="K37" s="17"/>
      <c r="L37" s="32" t="s">
        <v>426</v>
      </c>
      <c r="M37" s="32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2" customHeight="1" x14ac:dyDescent="0.2">
      <c r="A38" s="112"/>
      <c r="B38" s="112"/>
      <c r="C38" s="18" t="s">
        <v>381</v>
      </c>
      <c r="D38" s="15">
        <v>0</v>
      </c>
      <c r="E38" s="15">
        <v>0</v>
      </c>
      <c r="F38" s="15">
        <f>IF((+$D$11+$D$12+$D$16+$D$17+$D$38)&lt;&gt;0,$M$19*$D$38/(+$D$11+$D$12+$D$16+$D$17+$D$38),0)</f>
        <v>0</v>
      </c>
      <c r="G38" s="17"/>
      <c r="H38" s="17"/>
      <c r="I38" s="17"/>
      <c r="J38" s="17"/>
      <c r="K38" s="17"/>
      <c r="L38" s="32" t="s">
        <v>427</v>
      </c>
      <c r="M38" s="32">
        <f>IFERROR(VLOOKUP("Convencional1RuralNão se aplicaRURALB2",Descontos!B1:U88,VLOOKUP("Convencional1RuralNão se aplicaRURALB2",Descontos!B1:U88,20,FALSE)+12,FALSE),100)</f>
        <v>0.06</v>
      </c>
      <c r="N38" s="17" t="s">
        <v>484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2" customHeight="1" x14ac:dyDescent="0.2">
      <c r="A39" s="112"/>
      <c r="B39" s="112"/>
      <c r="C39" s="18" t="s">
        <v>382</v>
      </c>
      <c r="D39" s="15"/>
      <c r="E39" s="15"/>
      <c r="F39" s="15"/>
      <c r="G39" s="17"/>
      <c r="H39" s="17"/>
      <c r="I39" s="17"/>
      <c r="J39" s="17"/>
      <c r="K39" s="17"/>
      <c r="L39" s="32" t="s">
        <v>428</v>
      </c>
      <c r="M39" s="32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7">
        <v>0.3</v>
      </c>
      <c r="O39" s="17" t="s">
        <v>502</v>
      </c>
      <c r="P39" s="17" t="s">
        <v>503</v>
      </c>
      <c r="Q39" s="17" t="s">
        <v>504</v>
      </c>
      <c r="R39" s="17" t="s">
        <v>505</v>
      </c>
      <c r="S39" s="17" t="s">
        <v>1</v>
      </c>
      <c r="T39" s="17" t="s">
        <v>506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2" customHeight="1" x14ac:dyDescent="0.3">
      <c r="A40" s="112"/>
      <c r="B40" s="111"/>
      <c r="C40" s="18" t="s">
        <v>356</v>
      </c>
      <c r="D40" s="15">
        <f>SUM(D$37:D39)</f>
        <v>0</v>
      </c>
      <c r="E40" s="15">
        <f>SUM(E$37:E39)</f>
        <v>0</v>
      </c>
      <c r="F40" s="15">
        <f>SUM(F$37:F39)</f>
        <v>0</v>
      </c>
      <c r="G40" s="17"/>
      <c r="H40" s="17"/>
      <c r="I40" s="17"/>
      <c r="J40" s="17"/>
      <c r="K40" s="17"/>
      <c r="L40" s="32" t="s">
        <v>429</v>
      </c>
      <c r="M40" s="32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7">
        <v>0.4</v>
      </c>
      <c r="O40" s="51"/>
      <c r="P40" s="51"/>
      <c r="Q40" s="51"/>
      <c r="R40" s="51"/>
      <c r="S40" s="51"/>
      <c r="T40" s="51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2" customHeight="1" x14ac:dyDescent="0.3">
      <c r="A41" s="112"/>
      <c r="B41" s="110" t="s">
        <v>367</v>
      </c>
      <c r="C41" s="18" t="s">
        <v>368</v>
      </c>
      <c r="D41" s="15"/>
      <c r="E41" s="15">
        <f>IF($D$46&lt;&gt;0,($D$45/$D$46)* 0,0)+0</f>
        <v>0</v>
      </c>
      <c r="F41" s="15"/>
      <c r="G41" s="17"/>
      <c r="H41" s="17"/>
      <c r="I41" s="17"/>
      <c r="J41" s="17"/>
      <c r="K41" s="17"/>
      <c r="L41" s="17"/>
      <c r="M41" s="17"/>
      <c r="N41" s="17"/>
      <c r="O41" s="51"/>
      <c r="P41" s="51"/>
      <c r="Q41" s="51"/>
      <c r="R41" s="51"/>
      <c r="S41" s="51"/>
      <c r="T41" s="51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2" customHeight="1" x14ac:dyDescent="0.3">
      <c r="A42" s="112"/>
      <c r="B42" s="111"/>
      <c r="C42" s="18" t="s">
        <v>356</v>
      </c>
      <c r="D42" s="15">
        <f>SUM(D$41:D41)</f>
        <v>0</v>
      </c>
      <c r="E42" s="15">
        <f>SUM(E$41:E41)</f>
        <v>0</v>
      </c>
      <c r="F42" s="15">
        <f>SUM(F$41:F41)</f>
        <v>0</v>
      </c>
      <c r="G42" s="17"/>
      <c r="H42" s="17"/>
      <c r="I42" s="17"/>
      <c r="J42" s="17"/>
      <c r="K42" s="17"/>
      <c r="L42" s="17"/>
      <c r="M42" s="17"/>
      <c r="N42" s="17"/>
      <c r="O42" s="51"/>
      <c r="P42" s="51"/>
      <c r="Q42" s="51"/>
      <c r="R42" s="51"/>
      <c r="S42" s="51"/>
      <c r="T42" s="51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2" customHeight="1" x14ac:dyDescent="0.3">
      <c r="A43" s="112"/>
      <c r="B43" s="110" t="s">
        <v>370</v>
      </c>
      <c r="C43" s="18" t="s">
        <v>383</v>
      </c>
      <c r="D43" s="15">
        <f>$M$14*$M$11</f>
        <v>0</v>
      </c>
      <c r="E43" s="15">
        <f>$M$16*$M$11/$M$12</f>
        <v>0</v>
      </c>
      <c r="F43" s="15">
        <f>$M$17*$M$11/$M$12</f>
        <v>0</v>
      </c>
      <c r="G43" s="17"/>
      <c r="H43" s="17"/>
      <c r="I43" s="17"/>
      <c r="J43" s="17"/>
      <c r="K43" s="17"/>
      <c r="L43" s="17"/>
      <c r="M43" s="17"/>
      <c r="N43" s="17"/>
      <c r="O43" s="51"/>
      <c r="P43" s="51"/>
      <c r="Q43" s="51"/>
      <c r="R43" s="51"/>
      <c r="S43" s="51"/>
      <c r="T43" s="51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2" customHeight="1" x14ac:dyDescent="0.3">
      <c r="A44" s="112"/>
      <c r="B44" s="111"/>
      <c r="C44" s="18" t="s">
        <v>356</v>
      </c>
      <c r="D44" s="15">
        <f>SUM(D$43:D43)</f>
        <v>0</v>
      </c>
      <c r="E44" s="15">
        <f>SUM(E$43:E43)</f>
        <v>0</v>
      </c>
      <c r="F44" s="15">
        <f>SUM(F$43:F43)</f>
        <v>0</v>
      </c>
      <c r="G44" s="17"/>
      <c r="H44" s="17"/>
      <c r="I44" s="17"/>
      <c r="J44" s="17"/>
      <c r="K44" s="17"/>
      <c r="L44" s="17"/>
      <c r="M44" s="17"/>
      <c r="N44" s="17"/>
      <c r="O44" s="51"/>
      <c r="P44" s="51"/>
      <c r="Q44" s="51"/>
      <c r="R44" s="51"/>
      <c r="S44" s="51"/>
      <c r="T44" s="51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2" customHeight="1" x14ac:dyDescent="0.3">
      <c r="A45" s="111"/>
      <c r="B45" s="113" t="s">
        <v>356</v>
      </c>
      <c r="C45" s="114"/>
      <c r="D45" s="15">
        <f>SUMIF(C$30:C44,"SUBTOTAL",D$30:D44)</f>
        <v>3637685.8018519101</v>
      </c>
      <c r="E45" s="15">
        <f>SUMIF(C$30:C44,"SUBTOTAL",E$30:E44)</f>
        <v>864196.38677906559</v>
      </c>
      <c r="F45" s="15">
        <f>SUMIF(C$30:C44,"SUBTOTAL",F$30:F44)</f>
        <v>0</v>
      </c>
      <c r="G45" s="17"/>
      <c r="H45" s="17"/>
      <c r="I45" s="17"/>
      <c r="J45" s="17"/>
      <c r="K45" s="17"/>
      <c r="L45" s="17"/>
      <c r="M45" s="17"/>
      <c r="N45" s="17"/>
      <c r="O45" s="51"/>
      <c r="P45" s="51"/>
      <c r="Q45" s="51"/>
      <c r="R45" s="51"/>
      <c r="S45" s="51"/>
      <c r="T45" s="51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2" customHeight="1" x14ac:dyDescent="0.3">
      <c r="A46" s="113" t="s">
        <v>384</v>
      </c>
      <c r="B46" s="119"/>
      <c r="C46" s="114"/>
      <c r="D46" s="15">
        <f>SUMIF(C$2:C45,"SUBTOTAL",D$2:D45)</f>
        <v>22400090.048715025</v>
      </c>
      <c r="E46" s="15">
        <f>SUMIF(C$2:C45,"SUBTOTAL",E$2:E45)</f>
        <v>2239308.7968921307</v>
      </c>
      <c r="F46" s="15">
        <f>SUMIF(C$2:C45,"SUBTOTAL",F$2:F45)</f>
        <v>0</v>
      </c>
      <c r="G46" s="17"/>
      <c r="H46" s="17"/>
      <c r="I46" s="17"/>
      <c r="J46" s="17"/>
      <c r="K46" s="17"/>
      <c r="L46" s="17"/>
      <c r="M46" s="17"/>
      <c r="N46" s="17"/>
      <c r="O46" s="51"/>
      <c r="P46" s="51"/>
      <c r="Q46" s="51"/>
      <c r="R46" s="51"/>
      <c r="S46" s="51"/>
      <c r="T46" s="51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2" customHeight="1" x14ac:dyDescent="0.3">
      <c r="A47" s="117" t="s">
        <v>476</v>
      </c>
      <c r="B47" s="118"/>
      <c r="C47" s="118"/>
      <c r="D47" s="42">
        <f ca="1">'TUSD BE'!$AM$53+'TUSD BE'!$AM$57+'TE BE'!$AA$43</f>
        <v>22400090.048715025</v>
      </c>
      <c r="E47" s="42">
        <f ca="1">'TUSD BF'!$AM$53+'TE BF'!$AA$43</f>
        <v>2239308.7968921303</v>
      </c>
      <c r="F47" s="42">
        <f ca="1">'TUSD CVA'!$AM$53+'TE CVA'!$AA$43</f>
        <v>0</v>
      </c>
      <c r="H47" s="84">
        <f ca="1">D47+E47</f>
        <v>24639398.845607154</v>
      </c>
      <c r="L47" s="9"/>
      <c r="M47" s="17"/>
      <c r="O47" s="51"/>
      <c r="P47" s="51"/>
      <c r="Q47" s="51"/>
      <c r="R47" s="51"/>
      <c r="S47" s="51"/>
      <c r="T47" s="51"/>
    </row>
    <row r="48" spans="1:30" ht="12" customHeight="1" x14ac:dyDescent="0.3">
      <c r="A48" s="117" t="s">
        <v>477</v>
      </c>
      <c r="B48" s="118"/>
      <c r="C48" s="118"/>
      <c r="D48" s="43" t="str">
        <f ca="1">IF(ABS(D47-D46)&gt;1,"ERRO","OK")</f>
        <v>OK</v>
      </c>
      <c r="E48" s="43" t="str">
        <f ca="1">IF(ABS(E47-E46)&gt;1,"ERRO","OK")</f>
        <v>OK</v>
      </c>
      <c r="F48" s="43" t="str">
        <f ca="1">IF(ABS(F47-F46)&gt;1,"ERRO","OK")</f>
        <v>OK</v>
      </c>
      <c r="H48" s="85">
        <v>24639398.845607154</v>
      </c>
      <c r="L48" s="91"/>
      <c r="M48" s="32"/>
      <c r="O48" s="51"/>
      <c r="P48" s="51"/>
      <c r="Q48" s="51"/>
      <c r="R48" s="51"/>
      <c r="S48" s="51"/>
      <c r="T48" s="51"/>
    </row>
    <row r="49" spans="8:20" ht="12" customHeight="1" x14ac:dyDescent="0.3">
      <c r="H49" s="92">
        <f ca="1">H47-H48</f>
        <v>0</v>
      </c>
      <c r="L49" s="91"/>
      <c r="M49" s="32"/>
      <c r="O49" s="51"/>
      <c r="P49" s="51"/>
      <c r="Q49" s="51"/>
      <c r="R49" s="51"/>
      <c r="S49" s="51"/>
      <c r="T49" s="51"/>
    </row>
    <row r="50" spans="8:20" ht="12" customHeight="1" x14ac:dyDescent="0.3">
      <c r="L50" s="91"/>
      <c r="M50" s="32"/>
      <c r="O50" s="51"/>
      <c r="P50" s="51"/>
      <c r="Q50" s="51"/>
      <c r="R50" s="51"/>
      <c r="S50" s="51"/>
      <c r="T50" s="51"/>
    </row>
    <row r="51" spans="8:20" ht="12" customHeight="1" x14ac:dyDescent="0.3">
      <c r="L51" s="68" t="s">
        <v>430</v>
      </c>
      <c r="M51" s="75">
        <v>0</v>
      </c>
      <c r="O51" s="51"/>
      <c r="P51" s="51"/>
      <c r="Q51" s="51"/>
      <c r="R51" s="51"/>
      <c r="S51" s="51"/>
      <c r="T51" s="51"/>
    </row>
    <row r="52" spans="8:20" ht="12" customHeight="1" x14ac:dyDescent="0.3">
      <c r="O52" s="51"/>
      <c r="P52" s="51"/>
      <c r="Q52" s="51"/>
      <c r="R52" s="51"/>
      <c r="S52" s="51"/>
      <c r="T52" s="51"/>
    </row>
    <row r="53" spans="8:20" ht="12" customHeight="1" x14ac:dyDescent="0.3">
      <c r="O53" s="51"/>
      <c r="P53" s="51"/>
      <c r="Q53" s="51"/>
      <c r="R53" s="51"/>
      <c r="S53" s="51"/>
      <c r="T53" s="51"/>
    </row>
    <row r="54" spans="8:20" ht="12" customHeight="1" x14ac:dyDescent="0.3">
      <c r="O54" s="51"/>
      <c r="P54" s="51"/>
      <c r="Q54" s="51"/>
      <c r="R54" s="51"/>
      <c r="S54" s="51"/>
      <c r="T54" s="51"/>
    </row>
    <row r="55" spans="8:20" ht="12" customHeight="1" x14ac:dyDescent="0.3">
      <c r="O55" s="51"/>
      <c r="P55" s="51"/>
      <c r="Q55" s="51"/>
      <c r="R55" s="51"/>
      <c r="S55" s="51"/>
      <c r="T55" s="51"/>
    </row>
    <row r="56" spans="8:20" ht="12" customHeight="1" x14ac:dyDescent="0.3">
      <c r="O56" s="51"/>
      <c r="P56" s="51"/>
      <c r="Q56" s="51"/>
      <c r="R56" s="51"/>
      <c r="S56" s="51"/>
      <c r="T56" s="51"/>
    </row>
    <row r="57" spans="8:20" ht="12" customHeight="1" x14ac:dyDescent="0.3">
      <c r="O57" s="51"/>
      <c r="P57" s="51"/>
      <c r="Q57" s="51"/>
      <c r="R57" s="51"/>
      <c r="S57" s="51"/>
      <c r="T57" s="51"/>
    </row>
    <row r="58" spans="8:20" ht="12" customHeight="1" x14ac:dyDescent="0.3">
      <c r="O58" s="51"/>
      <c r="P58" s="51"/>
      <c r="Q58" s="51"/>
      <c r="R58" s="51"/>
      <c r="S58" s="51"/>
      <c r="T58" s="51"/>
    </row>
    <row r="59" spans="8:20" ht="12" customHeight="1" x14ac:dyDescent="0.3">
      <c r="O59" s="51"/>
      <c r="P59" s="51"/>
      <c r="Q59" s="51"/>
      <c r="R59" s="51"/>
      <c r="S59" s="51"/>
      <c r="T59" s="51"/>
    </row>
    <row r="60" spans="8:20" ht="12" customHeight="1" x14ac:dyDescent="0.3">
      <c r="O60" s="51"/>
      <c r="P60" s="51"/>
      <c r="Q60" s="51"/>
      <c r="R60" s="51"/>
      <c r="S60" s="51"/>
      <c r="T60" s="51"/>
    </row>
    <row r="61" spans="8:20" ht="12" customHeight="1" x14ac:dyDescent="0.3">
      <c r="O61" s="51"/>
      <c r="P61" s="51"/>
      <c r="Q61" s="51"/>
      <c r="R61" s="51"/>
      <c r="S61" s="51"/>
      <c r="T61" s="51"/>
    </row>
    <row r="62" spans="8:20" ht="12" customHeight="1" x14ac:dyDescent="0.3">
      <c r="O62" s="51"/>
      <c r="P62" s="51"/>
      <c r="Q62" s="51"/>
      <c r="R62" s="51"/>
      <c r="S62" s="51"/>
      <c r="T62" s="51"/>
    </row>
    <row r="63" spans="8:20" ht="12" customHeight="1" x14ac:dyDescent="0.3">
      <c r="O63" s="51"/>
      <c r="P63" s="51"/>
      <c r="Q63" s="51"/>
      <c r="R63" s="51"/>
      <c r="S63" s="51"/>
      <c r="T63" s="51"/>
    </row>
    <row r="64" spans="8:20" ht="12" customHeight="1" x14ac:dyDescent="0.3">
      <c r="O64" s="51"/>
      <c r="P64" s="51"/>
      <c r="Q64" s="51"/>
      <c r="R64" s="51"/>
      <c r="S64" s="51"/>
      <c r="T64" s="51"/>
    </row>
    <row r="65" spans="15:20" ht="12" customHeight="1" x14ac:dyDescent="0.3">
      <c r="O65" s="51"/>
      <c r="P65" s="51"/>
      <c r="Q65" s="51"/>
      <c r="R65" s="51"/>
      <c r="S65" s="51"/>
      <c r="T65" s="51"/>
    </row>
    <row r="66" spans="15:20" ht="12" customHeight="1" x14ac:dyDescent="0.3">
      <c r="O66" s="51"/>
      <c r="P66" s="51"/>
      <c r="Q66" s="51"/>
      <c r="R66" s="51"/>
      <c r="S66" s="51"/>
      <c r="T66" s="51"/>
    </row>
    <row r="67" spans="15:20" ht="12" customHeight="1" x14ac:dyDescent="0.3">
      <c r="O67" s="51"/>
      <c r="P67" s="51"/>
      <c r="Q67" s="51"/>
      <c r="R67" s="51"/>
      <c r="S67" s="51"/>
      <c r="T67" s="51"/>
    </row>
    <row r="68" spans="15:20" ht="12" customHeight="1" x14ac:dyDescent="0.3">
      <c r="O68" s="51"/>
      <c r="P68" s="51"/>
      <c r="Q68" s="51"/>
      <c r="R68" s="51"/>
      <c r="S68" s="51"/>
      <c r="T68" s="51"/>
    </row>
    <row r="69" spans="15:20" ht="12" customHeight="1" x14ac:dyDescent="0.3">
      <c r="O69" s="51"/>
      <c r="P69" s="51"/>
      <c r="Q69" s="51"/>
      <c r="R69" s="51"/>
      <c r="S69" s="51"/>
      <c r="T69" s="51"/>
    </row>
    <row r="70" spans="15:20" ht="12" customHeight="1" x14ac:dyDescent="0.3">
      <c r="O70" s="51"/>
      <c r="P70" s="51"/>
      <c r="Q70" s="51"/>
      <c r="R70" s="51"/>
      <c r="S70" s="51"/>
      <c r="T70" s="51"/>
    </row>
    <row r="71" spans="15:20" ht="12" customHeight="1" x14ac:dyDescent="0.3">
      <c r="O71" s="51"/>
      <c r="P71" s="51"/>
      <c r="Q71" s="51"/>
      <c r="R71" s="51"/>
      <c r="S71" s="51"/>
      <c r="T71" s="51"/>
    </row>
    <row r="72" spans="15:20" ht="12" customHeight="1" x14ac:dyDescent="0.3">
      <c r="O72" s="51"/>
      <c r="P72" s="51"/>
      <c r="Q72" s="51"/>
      <c r="R72" s="51"/>
      <c r="S72" s="51"/>
      <c r="T72" s="51"/>
    </row>
    <row r="73" spans="15:20" ht="12" customHeight="1" x14ac:dyDescent="0.3">
      <c r="O73" s="51"/>
      <c r="P73" s="51"/>
      <c r="Q73" s="51"/>
      <c r="R73" s="51"/>
      <c r="S73" s="51"/>
      <c r="T73" s="51"/>
    </row>
    <row r="74" spans="15:20" ht="12" customHeight="1" x14ac:dyDescent="0.3">
      <c r="O74" s="51"/>
      <c r="P74" s="51"/>
      <c r="Q74" s="51"/>
      <c r="R74" s="51"/>
      <c r="S74" s="51"/>
      <c r="T74" s="51"/>
    </row>
    <row r="75" spans="15:20" ht="12" customHeight="1" x14ac:dyDescent="0.3">
      <c r="O75" s="51"/>
      <c r="P75" s="51"/>
      <c r="Q75" s="51"/>
      <c r="R75" s="51"/>
      <c r="S75" s="51"/>
      <c r="T75" s="51"/>
    </row>
    <row r="76" spans="15:20" ht="12" customHeight="1" x14ac:dyDescent="0.3">
      <c r="O76" s="51"/>
      <c r="P76" s="51"/>
      <c r="Q76" s="51"/>
      <c r="R76" s="51"/>
      <c r="S76" s="51"/>
      <c r="T76" s="51"/>
    </row>
    <row r="77" spans="15:20" ht="12" customHeight="1" x14ac:dyDescent="0.3">
      <c r="O77" s="51"/>
      <c r="P77" s="51"/>
      <c r="Q77" s="51"/>
      <c r="R77" s="51"/>
      <c r="S77" s="51"/>
      <c r="T77" s="51"/>
    </row>
    <row r="78" spans="15:20" ht="12" customHeight="1" x14ac:dyDescent="0.3">
      <c r="O78" s="51"/>
      <c r="P78" s="51"/>
      <c r="Q78" s="51"/>
      <c r="R78" s="51"/>
      <c r="S78" s="51"/>
      <c r="T78" s="51"/>
    </row>
    <row r="79" spans="15:20" ht="12" customHeight="1" x14ac:dyDescent="0.3">
      <c r="O79" s="51"/>
      <c r="P79" s="51"/>
      <c r="Q79" s="51"/>
      <c r="R79" s="51"/>
      <c r="S79" s="51"/>
      <c r="T79" s="51"/>
    </row>
    <row r="80" spans="15:20" ht="12" customHeight="1" x14ac:dyDescent="0.3">
      <c r="O80" s="51"/>
      <c r="P80" s="51"/>
      <c r="Q80" s="51"/>
      <c r="R80" s="51"/>
      <c r="S80" s="51"/>
      <c r="T80" s="51"/>
    </row>
    <row r="81" spans="15:20" ht="12" customHeight="1" x14ac:dyDescent="0.3">
      <c r="O81" s="51"/>
      <c r="P81" s="51"/>
      <c r="Q81" s="51"/>
      <c r="R81" s="51"/>
      <c r="S81" s="51"/>
      <c r="T81" s="51"/>
    </row>
    <row r="82" spans="15:20" ht="12" customHeight="1" x14ac:dyDescent="0.3">
      <c r="O82" s="51"/>
      <c r="P82" s="51"/>
      <c r="Q82" s="51"/>
      <c r="R82" s="51"/>
      <c r="S82" s="51"/>
      <c r="T82" s="51"/>
    </row>
    <row r="83" spans="15:20" ht="12" customHeight="1" x14ac:dyDescent="0.3">
      <c r="O83" s="51"/>
      <c r="P83" s="51"/>
      <c r="Q83" s="51"/>
      <c r="R83" s="51"/>
      <c r="S83" s="51"/>
      <c r="T83" s="51"/>
    </row>
    <row r="84" spans="15:20" ht="12" customHeight="1" x14ac:dyDescent="0.3">
      <c r="O84" s="51"/>
      <c r="P84" s="51"/>
      <c r="Q84" s="51"/>
      <c r="R84" s="51"/>
      <c r="S84" s="51"/>
      <c r="T84" s="51"/>
    </row>
    <row r="85" spans="15:20" ht="12" customHeight="1" x14ac:dyDescent="0.3">
      <c r="O85" s="51"/>
      <c r="P85" s="51"/>
      <c r="Q85" s="51"/>
      <c r="R85" s="51"/>
      <c r="S85" s="51"/>
      <c r="T85" s="51"/>
    </row>
    <row r="86" spans="15:20" ht="12" customHeight="1" x14ac:dyDescent="0.3">
      <c r="O86" s="51"/>
      <c r="P86" s="51"/>
      <c r="Q86" s="51"/>
      <c r="R86" s="51"/>
      <c r="S86" s="51"/>
      <c r="T86" s="51"/>
    </row>
    <row r="87" spans="15:20" ht="12" customHeight="1" x14ac:dyDescent="0.3">
      <c r="O87" s="51"/>
      <c r="P87" s="51"/>
      <c r="Q87" s="51"/>
      <c r="R87" s="51"/>
      <c r="S87" s="51"/>
      <c r="T87" s="51"/>
    </row>
    <row r="88" spans="15:20" ht="12" customHeight="1" x14ac:dyDescent="0.3">
      <c r="O88" s="51"/>
      <c r="P88" s="51"/>
      <c r="Q88" s="51"/>
      <c r="R88" s="51"/>
      <c r="S88" s="51"/>
      <c r="T88" s="51"/>
    </row>
    <row r="89" spans="15:20" ht="12" customHeight="1" x14ac:dyDescent="0.3">
      <c r="O89" s="51"/>
      <c r="P89" s="51"/>
      <c r="Q89" s="51"/>
      <c r="R89" s="51"/>
      <c r="S89" s="51"/>
      <c r="T89" s="51"/>
    </row>
    <row r="90" spans="15:20" ht="12" customHeight="1" x14ac:dyDescent="0.3">
      <c r="O90" s="51"/>
      <c r="P90" s="51"/>
      <c r="Q90" s="51"/>
      <c r="R90" s="51"/>
      <c r="S90" s="51"/>
      <c r="T90" s="51"/>
    </row>
    <row r="91" spans="15:20" ht="12" customHeight="1" x14ac:dyDescent="0.3">
      <c r="O91" s="51"/>
      <c r="P91" s="51"/>
      <c r="Q91" s="51"/>
      <c r="R91" s="51"/>
      <c r="S91" s="51"/>
      <c r="T91" s="51"/>
    </row>
    <row r="92" spans="15:20" ht="12" customHeight="1" x14ac:dyDescent="0.3">
      <c r="O92" s="51"/>
      <c r="P92" s="51"/>
      <c r="Q92" s="51"/>
      <c r="R92" s="51"/>
      <c r="S92" s="51"/>
      <c r="T92" s="51"/>
    </row>
    <row r="93" spans="15:20" ht="12" customHeight="1" x14ac:dyDescent="0.3">
      <c r="O93" s="51"/>
      <c r="P93" s="51"/>
      <c r="Q93" s="51"/>
      <c r="R93" s="51"/>
      <c r="S93" s="51"/>
      <c r="T93" s="51"/>
    </row>
    <row r="94" spans="15:20" ht="12" customHeight="1" x14ac:dyDescent="0.3">
      <c r="O94" s="51"/>
      <c r="P94" s="51"/>
      <c r="Q94" s="51"/>
      <c r="R94" s="51"/>
      <c r="S94" s="51"/>
      <c r="T94" s="51"/>
    </row>
    <row r="95" spans="15:20" ht="12" customHeight="1" x14ac:dyDescent="0.3">
      <c r="O95" s="51"/>
      <c r="P95" s="51"/>
      <c r="Q95" s="51"/>
      <c r="R95" s="51"/>
      <c r="S95" s="51"/>
      <c r="T95" s="51"/>
    </row>
    <row r="96" spans="15:20" ht="12" customHeight="1" x14ac:dyDescent="0.3">
      <c r="O96" s="51"/>
      <c r="P96" s="51"/>
      <c r="Q96" s="51"/>
      <c r="R96" s="51"/>
      <c r="S96" s="51"/>
      <c r="T96" s="51"/>
    </row>
    <row r="97" spans="15:30" ht="12" customHeight="1" x14ac:dyDescent="0.3">
      <c r="O97" s="51"/>
      <c r="P97" s="51"/>
      <c r="Q97" s="51"/>
      <c r="R97" s="51"/>
      <c r="S97" s="51"/>
      <c r="T97" s="51"/>
    </row>
    <row r="98" spans="15:30" ht="12" customHeight="1" x14ac:dyDescent="0.3">
      <c r="O98" s="51"/>
      <c r="P98" s="51"/>
      <c r="Q98" s="51"/>
      <c r="R98" s="51"/>
      <c r="S98" s="51"/>
      <c r="T98" s="51"/>
    </row>
    <row r="99" spans="15:30" ht="12" customHeight="1" x14ac:dyDescent="0.3">
      <c r="O99" s="50"/>
      <c r="P99" s="50"/>
      <c r="Q99" s="50"/>
      <c r="R99" s="50"/>
      <c r="S99" s="50"/>
      <c r="T99" s="50"/>
    </row>
    <row r="100" spans="15:30" ht="12" customHeight="1" x14ac:dyDescent="0.3"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15:30" ht="12" customHeight="1" x14ac:dyDescent="0.3">
      <c r="O101" s="51" t="s">
        <v>502</v>
      </c>
      <c r="P101" s="51" t="s">
        <v>507</v>
      </c>
      <c r="Q101" s="51" t="s">
        <v>508</v>
      </c>
      <c r="R101" s="51" t="s">
        <v>509</v>
      </c>
      <c r="S101" s="51" t="s">
        <v>510</v>
      </c>
      <c r="T101" s="51" t="s">
        <v>511</v>
      </c>
      <c r="U101" s="51" t="s">
        <v>512</v>
      </c>
      <c r="V101" s="51" t="s">
        <v>513</v>
      </c>
      <c r="W101" s="51"/>
      <c r="X101" s="51"/>
      <c r="Y101" s="51"/>
      <c r="Z101" s="51"/>
      <c r="AA101" s="51"/>
      <c r="AB101" s="51"/>
      <c r="AC101" s="51"/>
      <c r="AD101" s="51"/>
    </row>
    <row r="102" spans="15:30" ht="12" customHeight="1" x14ac:dyDescent="0.3">
      <c r="O102" s="51" t="s">
        <v>34</v>
      </c>
      <c r="P102" s="51" t="s">
        <v>23</v>
      </c>
      <c r="Q102" s="51" t="s">
        <v>40</v>
      </c>
      <c r="R102" s="51" t="s">
        <v>41</v>
      </c>
      <c r="S102" s="51" t="s">
        <v>25</v>
      </c>
      <c r="T102" s="51" t="s">
        <v>41</v>
      </c>
      <c r="U102" s="51">
        <v>4</v>
      </c>
      <c r="V102" s="51">
        <v>0.3</v>
      </c>
      <c r="W102" s="51">
        <v>0.24</v>
      </c>
      <c r="X102" s="51">
        <v>0.18</v>
      </c>
      <c r="Y102" s="51">
        <v>0.12</v>
      </c>
      <c r="Z102" s="51">
        <v>0.06</v>
      </c>
      <c r="AA102" s="51">
        <v>0</v>
      </c>
      <c r="AB102" s="51"/>
      <c r="AC102" s="51"/>
      <c r="AD102" s="51"/>
    </row>
    <row r="103" spans="15:30" ht="12" customHeight="1" x14ac:dyDescent="0.3"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spans="15:30" ht="12" customHeight="1" x14ac:dyDescent="0.3"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15:30" ht="12" customHeight="1" x14ac:dyDescent="0.3"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spans="15:30" ht="12" customHeight="1" x14ac:dyDescent="0.3"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15:30" ht="12" customHeight="1" x14ac:dyDescent="0.3"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spans="15:30" ht="12" customHeight="1" x14ac:dyDescent="0.3"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spans="15:30" ht="12" customHeight="1" x14ac:dyDescent="0.3"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spans="15:30" ht="12" customHeight="1" x14ac:dyDescent="0.3"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spans="15:30" ht="12" customHeight="1" x14ac:dyDescent="0.3"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spans="15:30" ht="12" customHeight="1" x14ac:dyDescent="0.3"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spans="15:30" ht="12" customHeight="1" x14ac:dyDescent="0.3"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spans="15:30" ht="12" customHeight="1" x14ac:dyDescent="0.3"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spans="15:30" ht="12" customHeight="1" x14ac:dyDescent="0.3"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15:30" ht="12" customHeight="1" x14ac:dyDescent="0.3"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15:30" ht="12" customHeight="1" x14ac:dyDescent="0.3"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5:30" ht="12" customHeight="1" x14ac:dyDescent="0.3"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15:30" ht="12" customHeight="1" x14ac:dyDescent="0.3"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5:30" ht="12" customHeight="1" x14ac:dyDescent="0.3"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15:30" ht="12" customHeight="1" x14ac:dyDescent="0.3"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5:30" ht="12" customHeight="1" x14ac:dyDescent="0.3"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15:30" ht="12" customHeight="1" x14ac:dyDescent="0.3"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15:30" ht="12" customHeight="1" x14ac:dyDescent="0.3"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15:30" ht="12" customHeight="1" x14ac:dyDescent="0.3"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spans="15:30" ht="12" customHeight="1" x14ac:dyDescent="0.3"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spans="15:30" ht="12" customHeight="1" x14ac:dyDescent="0.3"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spans="15:30" ht="12" customHeight="1" x14ac:dyDescent="0.3"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spans="15:30" ht="12" customHeight="1" x14ac:dyDescent="0.3"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spans="15:30" ht="12" customHeight="1" x14ac:dyDescent="0.3"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spans="15:30" ht="12" customHeight="1" x14ac:dyDescent="0.3"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5:30" ht="12" customHeight="1" x14ac:dyDescent="0.3"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spans="15:30" ht="12" customHeight="1" x14ac:dyDescent="0.3"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spans="15:30" ht="12" customHeight="1" x14ac:dyDescent="0.3"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5:30" ht="12" customHeight="1" x14ac:dyDescent="0.3"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spans="15:30" ht="12" customHeight="1" x14ac:dyDescent="0.3"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5:30" ht="12" customHeight="1" x14ac:dyDescent="0.3"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spans="15:30" ht="12" customHeight="1" x14ac:dyDescent="0.3"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spans="15:30" ht="12" customHeight="1" x14ac:dyDescent="0.3"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spans="15:30" ht="12" customHeight="1" x14ac:dyDescent="0.3"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spans="15:30" ht="12" customHeight="1" x14ac:dyDescent="0.3"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spans="15:30" ht="12" customHeight="1" x14ac:dyDescent="0.3"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5:30" ht="12" customHeight="1" x14ac:dyDescent="0.3"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spans="15:30" ht="12" customHeight="1" x14ac:dyDescent="0.3"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spans="15:30" ht="12" customHeight="1" x14ac:dyDescent="0.3"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spans="15:30" ht="12" customHeight="1" x14ac:dyDescent="0.3"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spans="15:30" ht="12" customHeight="1" x14ac:dyDescent="0.3"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spans="15:30" ht="12" customHeight="1" x14ac:dyDescent="0.3"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spans="15:30" ht="12" customHeight="1" x14ac:dyDescent="0.3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spans="15:30" ht="12" customHeight="1" x14ac:dyDescent="0.3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spans="15:30" ht="12" customHeight="1" x14ac:dyDescent="0.3"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spans="15:30" ht="12" customHeight="1" x14ac:dyDescent="0.3"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spans="15:30" ht="12" customHeight="1" x14ac:dyDescent="0.3"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spans="15:30" ht="12" customHeight="1" x14ac:dyDescent="0.3"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spans="15:30" ht="12" customHeight="1" x14ac:dyDescent="0.3"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spans="15:30" ht="12" customHeight="1" x14ac:dyDescent="0.3"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spans="15:30" ht="12" customHeight="1" x14ac:dyDescent="0.3"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spans="15:30" ht="12" customHeight="1" x14ac:dyDescent="0.3"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spans="15:30" ht="12" customHeight="1" x14ac:dyDescent="0.3"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spans="15:30" ht="12" customHeight="1" x14ac:dyDescent="0.3"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spans="15:30" ht="12" customHeight="1" x14ac:dyDescent="0.3"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spans="15:30" ht="12" customHeight="1" x14ac:dyDescent="0.3"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spans="15:30" ht="12" customHeight="1" x14ac:dyDescent="0.3"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5:30" ht="12" customHeight="1" x14ac:dyDescent="0.3"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spans="15:30" ht="12" customHeight="1" x14ac:dyDescent="0.3"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5:30" ht="12" customHeight="1" x14ac:dyDescent="0.3"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spans="15:30" ht="12" customHeight="1" x14ac:dyDescent="0.3"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5:30" ht="12" customHeight="1" x14ac:dyDescent="0.3"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spans="15:30" ht="12" customHeight="1" x14ac:dyDescent="0.3"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5:30" ht="12" customHeight="1" x14ac:dyDescent="0.3"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spans="15:30" ht="12" customHeight="1" x14ac:dyDescent="0.3"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spans="15:30" ht="12" customHeight="1" x14ac:dyDescent="0.3"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spans="15:30" ht="12" customHeight="1" x14ac:dyDescent="0.3"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spans="15:30" ht="12" customHeight="1" x14ac:dyDescent="0.3"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spans="15:30" ht="12" customHeight="1" x14ac:dyDescent="0.3"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spans="15:30" ht="12" customHeight="1" x14ac:dyDescent="0.3"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spans="15:30" ht="12" customHeight="1" x14ac:dyDescent="0.3"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5:30" ht="12" customHeight="1" x14ac:dyDescent="0.3"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spans="15:30" ht="12" customHeight="1" x14ac:dyDescent="0.3"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spans="15:30" ht="12" customHeight="1" x14ac:dyDescent="0.3"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spans="15:30" ht="12" customHeight="1" x14ac:dyDescent="0.3"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5:30" ht="12" customHeight="1" x14ac:dyDescent="0.3"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spans="15:30" ht="12" customHeight="1" x14ac:dyDescent="0.3"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spans="15:30" ht="12" customHeight="1" x14ac:dyDescent="0.3"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spans="15:30" ht="12" customHeight="1" x14ac:dyDescent="0.3"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spans="15:30" ht="12" customHeight="1" x14ac:dyDescent="0.3"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spans="15:30" ht="12" customHeight="1" x14ac:dyDescent="0.3"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5:30" ht="12" customHeight="1" x14ac:dyDescent="0.3"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spans="15:30" ht="12" customHeight="1" x14ac:dyDescent="0.3"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spans="15:30" ht="12" customHeight="1" x14ac:dyDescent="0.3"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spans="15:30" ht="12" customHeight="1" x14ac:dyDescent="0.3"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spans="15:30" ht="12" customHeight="1" x14ac:dyDescent="0.3"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spans="15:30" ht="12" customHeight="1" x14ac:dyDescent="0.3"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spans="15:30" ht="12" customHeight="1" x14ac:dyDescent="0.3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spans="15:30" ht="12" customHeight="1" x14ac:dyDescent="0.3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5:30" ht="12" customHeight="1" x14ac:dyDescent="0.3"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spans="15:30" ht="12" customHeight="1" x14ac:dyDescent="0.3"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5:30" ht="12" customHeight="1" x14ac:dyDescent="0.3"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spans="15:30" ht="12" customHeight="1" x14ac:dyDescent="0.3"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spans="15:30" ht="12" customHeight="1" x14ac:dyDescent="0.3"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</sheetData>
  <mergeCells count="19">
    <mergeCell ref="O1:U1"/>
    <mergeCell ref="A47:C47"/>
    <mergeCell ref="A48:C48"/>
    <mergeCell ref="A46:C46"/>
    <mergeCell ref="L1:M1"/>
    <mergeCell ref="A2:A29"/>
    <mergeCell ref="A30:A45"/>
    <mergeCell ref="B2:B10"/>
    <mergeCell ref="B11:B18"/>
    <mergeCell ref="B19:B20"/>
    <mergeCell ref="B21:B23"/>
    <mergeCell ref="B24:B28"/>
    <mergeCell ref="B29:C29"/>
    <mergeCell ref="B30:B34"/>
    <mergeCell ref="B35:B36"/>
    <mergeCell ref="B37:B40"/>
    <mergeCell ref="B41:B42"/>
    <mergeCell ref="B43:B44"/>
    <mergeCell ref="B45:C45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83CE-85DD-4C7D-AD3A-25537B7967CE}">
  <dimension ref="A1:AP51"/>
  <sheetViews>
    <sheetView showGridLines="0" topLeftCell="C38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448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449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/>
      <c r="U3" s="122" t="s">
        <v>357</v>
      </c>
      <c r="V3" s="122"/>
      <c r="W3" s="122"/>
      <c r="X3" s="122"/>
      <c r="Y3" s="122"/>
      <c r="Z3" s="122"/>
      <c r="AA3" s="122"/>
      <c r="AB3" s="122"/>
      <c r="AC3" s="122" t="s">
        <v>365</v>
      </c>
      <c r="AD3" s="122"/>
      <c r="AE3" s="122" t="s">
        <v>367</v>
      </c>
      <c r="AF3" s="122"/>
      <c r="AG3" s="122"/>
      <c r="AH3" s="122" t="s">
        <v>370</v>
      </c>
      <c r="AI3" s="122"/>
      <c r="AJ3" s="122"/>
      <c r="AK3" s="122"/>
      <c r="AL3" s="122"/>
      <c r="AM3" s="122" t="s">
        <v>356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41" t="s">
        <v>432</v>
      </c>
      <c r="M4" s="41" t="s">
        <v>349</v>
      </c>
      <c r="N4" s="41" t="s">
        <v>350</v>
      </c>
      <c r="O4" s="41" t="s">
        <v>351</v>
      </c>
      <c r="P4" s="41" t="s">
        <v>352</v>
      </c>
      <c r="Q4" s="41" t="s">
        <v>353</v>
      </c>
      <c r="R4" s="41" t="s">
        <v>354</v>
      </c>
      <c r="S4" s="41" t="s">
        <v>355</v>
      </c>
      <c r="T4" s="41" t="s">
        <v>356</v>
      </c>
      <c r="U4" s="41" t="s">
        <v>358</v>
      </c>
      <c r="V4" s="41" t="s">
        <v>359</v>
      </c>
      <c r="W4" s="41" t="s">
        <v>360</v>
      </c>
      <c r="X4" s="41" t="s">
        <v>361</v>
      </c>
      <c r="Y4" s="41" t="s">
        <v>362</v>
      </c>
      <c r="Z4" s="41" t="s">
        <v>363</v>
      </c>
      <c r="AA4" s="41" t="s">
        <v>364</v>
      </c>
      <c r="AB4" s="41" t="s">
        <v>356</v>
      </c>
      <c r="AC4" s="41" t="s">
        <v>366</v>
      </c>
      <c r="AD4" s="41" t="s">
        <v>356</v>
      </c>
      <c r="AE4" s="41" t="s">
        <v>368</v>
      </c>
      <c r="AF4" s="41" t="s">
        <v>369</v>
      </c>
      <c r="AG4" s="41" t="s">
        <v>356</v>
      </c>
      <c r="AH4" s="41" t="s">
        <v>371</v>
      </c>
      <c r="AI4" s="41" t="s">
        <v>372</v>
      </c>
      <c r="AJ4" s="41" t="s">
        <v>373</v>
      </c>
      <c r="AK4" s="41" t="s">
        <v>374</v>
      </c>
      <c r="AL4" s="41" t="s">
        <v>356</v>
      </c>
      <c r="AM4" s="124"/>
      <c r="AP4" s="123"/>
    </row>
    <row r="5" spans="1:42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39"/>
      <c r="M5" s="39"/>
      <c r="N5" s="39"/>
      <c r="O5" s="39"/>
      <c r="P5" s="39"/>
      <c r="Q5" s="39"/>
      <c r="R5" s="39"/>
      <c r="S5" s="39"/>
      <c r="T5" s="39"/>
      <c r="U5" s="39">
        <v>0</v>
      </c>
      <c r="V5" s="39">
        <v>0</v>
      </c>
      <c r="W5" s="39">
        <v>0</v>
      </c>
      <c r="X5" s="39">
        <v>0</v>
      </c>
      <c r="Y5" s="39">
        <v>58.206600000000002</v>
      </c>
      <c r="Z5" s="39">
        <v>0</v>
      </c>
      <c r="AA5" s="39">
        <v>0</v>
      </c>
      <c r="AB5" s="39"/>
      <c r="AC5" s="39">
        <v>100.4937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P5" s="39">
        <v>1</v>
      </c>
    </row>
    <row r="6" spans="1:42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39"/>
      <c r="M6" s="39"/>
      <c r="N6" s="39"/>
      <c r="O6" s="39"/>
      <c r="P6" s="39"/>
      <c r="Q6" s="39"/>
      <c r="R6" s="39"/>
      <c r="S6" s="39"/>
      <c r="T6" s="39"/>
      <c r="U6" s="39">
        <v>0</v>
      </c>
      <c r="V6" s="39">
        <v>0</v>
      </c>
      <c r="W6" s="39">
        <v>0</v>
      </c>
      <c r="X6" s="39">
        <v>0</v>
      </c>
      <c r="Y6" s="39">
        <v>19.2669</v>
      </c>
      <c r="Z6" s="39">
        <v>0</v>
      </c>
      <c r="AA6" s="39">
        <v>0</v>
      </c>
      <c r="AB6" s="39"/>
      <c r="AC6" s="39">
        <v>36.933799999999998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P6" s="39">
        <v>1</v>
      </c>
    </row>
    <row r="7" spans="1:42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39"/>
      <c r="M7" s="39"/>
      <c r="N7" s="39"/>
      <c r="O7" s="39"/>
      <c r="P7" s="39"/>
      <c r="Q7" s="39"/>
      <c r="R7" s="39"/>
      <c r="S7" s="39"/>
      <c r="T7" s="39"/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/>
      <c r="AC7" s="39">
        <v>0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P7" s="39">
        <v>1</v>
      </c>
    </row>
    <row r="8" spans="1:42" ht="11.25" customHeight="1" x14ac:dyDescent="0.3">
      <c r="A8" s="125"/>
      <c r="B8" s="125"/>
      <c r="C8" s="125"/>
      <c r="D8" s="125"/>
      <c r="E8" s="40" t="s">
        <v>75</v>
      </c>
      <c r="F8" s="40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39"/>
      <c r="M8" s="39"/>
      <c r="N8" s="39"/>
      <c r="O8" s="39"/>
      <c r="P8" s="39"/>
      <c r="Q8" s="39"/>
      <c r="R8" s="39"/>
      <c r="S8" s="39"/>
      <c r="T8" s="39"/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/>
      <c r="AC8" s="39">
        <v>0</v>
      </c>
      <c r="AD8" s="39"/>
      <c r="AE8" s="39"/>
      <c r="AF8" s="39"/>
      <c r="AG8" s="39"/>
      <c r="AH8" s="39"/>
      <c r="AI8" s="39"/>
      <c r="AJ8" s="39"/>
      <c r="AK8" s="39"/>
      <c r="AL8" s="39"/>
      <c r="AM8" s="39"/>
      <c r="AP8" s="39">
        <v>1</v>
      </c>
    </row>
    <row r="9" spans="1:42" ht="11.25" customHeight="1" x14ac:dyDescent="0.3">
      <c r="A9" s="125"/>
      <c r="B9" s="40" t="s">
        <v>76</v>
      </c>
      <c r="C9" s="40" t="s">
        <v>25</v>
      </c>
      <c r="D9" s="40" t="s">
        <v>25</v>
      </c>
      <c r="E9" s="40" t="s">
        <v>25</v>
      </c>
      <c r="F9" s="40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39"/>
      <c r="M9" s="39"/>
      <c r="N9" s="39"/>
      <c r="O9" s="39"/>
      <c r="P9" s="39"/>
      <c r="Q9" s="39"/>
      <c r="R9" s="39"/>
      <c r="S9" s="39"/>
      <c r="T9" s="39"/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/>
      <c r="AC9" s="39">
        <v>11.6122</v>
      </c>
      <c r="AD9" s="39"/>
      <c r="AE9" s="39"/>
      <c r="AF9" s="39"/>
      <c r="AG9" s="39"/>
      <c r="AH9" s="39"/>
      <c r="AI9" s="39"/>
      <c r="AJ9" s="39"/>
      <c r="AK9" s="39"/>
      <c r="AL9" s="39"/>
      <c r="AM9" s="39"/>
      <c r="AP9" s="39"/>
    </row>
    <row r="10" spans="1:42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39"/>
      <c r="M10" s="39"/>
      <c r="N10" s="39"/>
      <c r="O10" s="39"/>
      <c r="P10" s="39"/>
      <c r="Q10" s="39"/>
      <c r="R10" s="39"/>
      <c r="S10" s="39"/>
      <c r="T10" s="39"/>
      <c r="U10" s="39">
        <v>0</v>
      </c>
      <c r="V10" s="39">
        <v>0</v>
      </c>
      <c r="W10" s="39">
        <v>0</v>
      </c>
      <c r="X10" s="39">
        <v>0</v>
      </c>
      <c r="Y10" s="39">
        <v>19.2669</v>
      </c>
      <c r="Z10" s="39">
        <v>0</v>
      </c>
      <c r="AA10" s="39">
        <v>0</v>
      </c>
      <c r="AB10" s="39"/>
      <c r="AC10" s="39">
        <v>36.933799999999998</v>
      </c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P10" s="39">
        <v>1</v>
      </c>
    </row>
    <row r="11" spans="1:42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39"/>
      <c r="M11" s="39"/>
      <c r="N11" s="39"/>
      <c r="O11" s="39"/>
      <c r="P11" s="39"/>
      <c r="Q11" s="39"/>
      <c r="R11" s="39"/>
      <c r="S11" s="39"/>
      <c r="T11" s="39"/>
      <c r="U11" s="39">
        <v>0</v>
      </c>
      <c r="V11" s="39">
        <v>0</v>
      </c>
      <c r="W11" s="39">
        <v>0</v>
      </c>
      <c r="X11" s="39">
        <v>0</v>
      </c>
      <c r="Y11" s="39">
        <v>1399.8413</v>
      </c>
      <c r="Z11" s="39">
        <v>0</v>
      </c>
      <c r="AA11" s="39">
        <v>0</v>
      </c>
      <c r="AB11" s="39"/>
      <c r="AC11" s="39">
        <v>2416.8761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P11" s="39">
        <v>1</v>
      </c>
    </row>
    <row r="12" spans="1:42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39"/>
      <c r="M12" s="39"/>
      <c r="N12" s="39"/>
      <c r="O12" s="39"/>
      <c r="P12" s="39"/>
      <c r="Q12" s="39"/>
      <c r="R12" s="39"/>
      <c r="S12" s="39"/>
      <c r="T12" s="39"/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/>
      <c r="AC12" s="39">
        <v>0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P12" s="39">
        <v>1</v>
      </c>
    </row>
    <row r="13" spans="1:42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39"/>
      <c r="M13" s="39"/>
      <c r="N13" s="39"/>
      <c r="O13" s="39"/>
      <c r="P13" s="39"/>
      <c r="Q13" s="39"/>
      <c r="R13" s="39"/>
      <c r="S13" s="39"/>
      <c r="T13" s="39"/>
      <c r="U13" s="39">
        <v>0</v>
      </c>
      <c r="V13" s="39">
        <v>0</v>
      </c>
      <c r="W13" s="39">
        <v>0</v>
      </c>
      <c r="X13" s="39">
        <v>0</v>
      </c>
      <c r="Y13" s="39">
        <v>1399.8413</v>
      </c>
      <c r="Z13" s="39">
        <v>0</v>
      </c>
      <c r="AA13" s="39">
        <v>0</v>
      </c>
      <c r="AB13" s="39"/>
      <c r="AC13" s="39">
        <v>2416.8761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P13" s="39">
        <v>1</v>
      </c>
    </row>
    <row r="14" spans="1:42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39"/>
      <c r="M14" s="39"/>
      <c r="N14" s="39"/>
      <c r="O14" s="39"/>
      <c r="P14" s="39"/>
      <c r="Q14" s="39"/>
      <c r="R14" s="39"/>
      <c r="S14" s="39"/>
      <c r="T14" s="39"/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/>
      <c r="AC14" s="39">
        <v>0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P14" s="39">
        <v>1</v>
      </c>
    </row>
    <row r="15" spans="1:42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40" t="s">
        <v>78</v>
      </c>
      <c r="F15" s="40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39"/>
      <c r="M15" s="39"/>
      <c r="N15" s="39"/>
      <c r="O15" s="39"/>
      <c r="P15" s="39"/>
      <c r="Q15" s="39"/>
      <c r="R15" s="39"/>
      <c r="S15" s="39"/>
      <c r="T15" s="39"/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/>
      <c r="AC15" s="39">
        <v>3.2296999999999998</v>
      </c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P15" s="39"/>
    </row>
    <row r="16" spans="1:42" ht="11.25" customHeight="1" x14ac:dyDescent="0.3">
      <c r="A16" s="125"/>
      <c r="B16" s="125"/>
      <c r="C16" s="125"/>
      <c r="D16" s="125"/>
      <c r="E16" s="40" t="s">
        <v>79</v>
      </c>
      <c r="F16" s="40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39"/>
      <c r="M16" s="39"/>
      <c r="N16" s="39"/>
      <c r="O16" s="39"/>
      <c r="P16" s="39"/>
      <c r="Q16" s="39"/>
      <c r="R16" s="39"/>
      <c r="S16" s="39"/>
      <c r="T16" s="39"/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/>
      <c r="AC16" s="39">
        <v>10.4091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P16" s="39"/>
    </row>
    <row r="17" spans="1:42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39"/>
      <c r="M17" s="39"/>
      <c r="N17" s="39"/>
      <c r="O17" s="39"/>
      <c r="P17" s="39"/>
      <c r="Q17" s="39"/>
      <c r="R17" s="39"/>
      <c r="S17" s="39"/>
      <c r="T17" s="39"/>
      <c r="U17" s="39">
        <v>0</v>
      </c>
      <c r="V17" s="39">
        <v>0</v>
      </c>
      <c r="W17" s="39">
        <v>0</v>
      </c>
      <c r="X17" s="39">
        <v>0</v>
      </c>
      <c r="Y17" s="39">
        <v>736.55060000000003</v>
      </c>
      <c r="Z17" s="39">
        <v>0</v>
      </c>
      <c r="AA17" s="39">
        <v>0</v>
      </c>
      <c r="AB17" s="39"/>
      <c r="AC17" s="39">
        <v>1328.8870999999999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P17" s="39">
        <v>1</v>
      </c>
    </row>
    <row r="18" spans="1:42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39"/>
      <c r="M18" s="39"/>
      <c r="N18" s="39"/>
      <c r="O18" s="39"/>
      <c r="P18" s="39"/>
      <c r="Q18" s="39"/>
      <c r="R18" s="39"/>
      <c r="S18" s="39"/>
      <c r="T18" s="39"/>
      <c r="U18" s="39">
        <v>0</v>
      </c>
      <c r="V18" s="39">
        <v>0</v>
      </c>
      <c r="W18" s="39">
        <v>0</v>
      </c>
      <c r="X18" s="39">
        <v>0</v>
      </c>
      <c r="Y18" s="39">
        <v>441.92919999999998</v>
      </c>
      <c r="Z18" s="39">
        <v>0</v>
      </c>
      <c r="AA18" s="39">
        <v>0</v>
      </c>
      <c r="AB18" s="39"/>
      <c r="AC18" s="39">
        <v>797.33230000000003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P18" s="39">
        <v>1</v>
      </c>
    </row>
    <row r="19" spans="1:42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39"/>
      <c r="M19" s="39"/>
      <c r="N19" s="39"/>
      <c r="O19" s="39"/>
      <c r="P19" s="39"/>
      <c r="Q19" s="39"/>
      <c r="R19" s="39"/>
      <c r="S19" s="39"/>
      <c r="T19" s="39"/>
      <c r="U19" s="39">
        <v>0</v>
      </c>
      <c r="V19" s="39">
        <v>0</v>
      </c>
      <c r="W19" s="39">
        <v>0</v>
      </c>
      <c r="X19" s="39">
        <v>0</v>
      </c>
      <c r="Y19" s="39">
        <v>147.3109</v>
      </c>
      <c r="Z19" s="39">
        <v>0</v>
      </c>
      <c r="AA19" s="39">
        <v>0</v>
      </c>
      <c r="AB19" s="39"/>
      <c r="AC19" s="39">
        <v>265.77749999999997</v>
      </c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9">
        <v>1</v>
      </c>
    </row>
    <row r="20" spans="1:42" ht="11.25" customHeight="1" x14ac:dyDescent="0.3">
      <c r="A20" s="125"/>
      <c r="B20" s="125" t="s">
        <v>23</v>
      </c>
      <c r="C20" s="125" t="s">
        <v>24</v>
      </c>
      <c r="D20" s="40" t="s">
        <v>24</v>
      </c>
      <c r="E20" s="40" t="s">
        <v>25</v>
      </c>
      <c r="F20" s="40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39"/>
      <c r="M20" s="39"/>
      <c r="N20" s="39"/>
      <c r="O20" s="39"/>
      <c r="P20" s="39"/>
      <c r="Q20" s="39"/>
      <c r="R20" s="39"/>
      <c r="S20" s="39"/>
      <c r="T20" s="39"/>
      <c r="U20" s="39">
        <v>0</v>
      </c>
      <c r="V20" s="39">
        <v>0</v>
      </c>
      <c r="W20" s="39">
        <v>0</v>
      </c>
      <c r="X20" s="39">
        <v>0</v>
      </c>
      <c r="Y20" s="39">
        <v>253.9836</v>
      </c>
      <c r="Z20" s="39">
        <v>0</v>
      </c>
      <c r="AA20" s="39">
        <v>0</v>
      </c>
      <c r="AB20" s="39"/>
      <c r="AC20" s="39">
        <v>458.23689999999999</v>
      </c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P20" s="39">
        <v>1</v>
      </c>
    </row>
    <row r="21" spans="1:42" ht="11.25" customHeight="1" x14ac:dyDescent="0.3">
      <c r="A21" s="125"/>
      <c r="B21" s="125"/>
      <c r="C21" s="125"/>
      <c r="D21" s="40" t="s">
        <v>29</v>
      </c>
      <c r="E21" s="40" t="s">
        <v>25</v>
      </c>
      <c r="F21" s="40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39"/>
      <c r="M21" s="39"/>
      <c r="N21" s="39"/>
      <c r="O21" s="39"/>
      <c r="P21" s="39"/>
      <c r="Q21" s="39"/>
      <c r="R21" s="39"/>
      <c r="S21" s="39"/>
      <c r="T21" s="39"/>
      <c r="U21" s="39">
        <v>0</v>
      </c>
      <c r="V21" s="39">
        <v>0</v>
      </c>
      <c r="W21" s="39">
        <v>0</v>
      </c>
      <c r="X21" s="39">
        <v>0</v>
      </c>
      <c r="Y21" s="39">
        <f>(1 - CUSTOS!$M$24)*253.9836</f>
        <v>253.9836</v>
      </c>
      <c r="Z21" s="39">
        <v>0</v>
      </c>
      <c r="AA21" s="39">
        <v>0</v>
      </c>
      <c r="AB21" s="39"/>
      <c r="AC21" s="39">
        <f>(1 - CUSTOS!$M$24)*458.2369</f>
        <v>458.23689999999999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P21" s="39">
        <f>IF((1 - CUSTOS!$M$24)&lt;&gt;0,1/(1 - CUSTOS!$M$24),1)</f>
        <v>1</v>
      </c>
    </row>
    <row r="22" spans="1:42" ht="11.25" customHeight="1" x14ac:dyDescent="0.3">
      <c r="A22" s="125"/>
      <c r="B22" s="125"/>
      <c r="C22" s="125"/>
      <c r="D22" s="40" t="s">
        <v>30</v>
      </c>
      <c r="E22" s="40" t="s">
        <v>25</v>
      </c>
      <c r="F22" s="40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39"/>
      <c r="M22" s="39"/>
      <c r="N22" s="39"/>
      <c r="O22" s="39"/>
      <c r="P22" s="39"/>
      <c r="Q22" s="39"/>
      <c r="R22" s="39"/>
      <c r="S22" s="39"/>
      <c r="T22" s="39"/>
      <c r="U22" s="39">
        <v>0</v>
      </c>
      <c r="V22" s="39">
        <v>0</v>
      </c>
      <c r="W22" s="39">
        <v>0</v>
      </c>
      <c r="X22" s="39">
        <v>0</v>
      </c>
      <c r="Y22" s="39">
        <f>(1 - CUSTOS!$M$25)*253.9836</f>
        <v>253.9836</v>
      </c>
      <c r="Z22" s="39">
        <v>0</v>
      </c>
      <c r="AA22" s="39">
        <v>0</v>
      </c>
      <c r="AB22" s="39"/>
      <c r="AC22" s="39">
        <f>(1 - CUSTOS!$M$25)*458.2369</f>
        <v>458.23689999999999</v>
      </c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P22" s="39">
        <f>IF((1 - CUSTOS!$M$25)&lt;&gt;0,1/(1 - CUSTOS!$M$25),1)</f>
        <v>1</v>
      </c>
    </row>
    <row r="23" spans="1:42" ht="11.25" customHeight="1" x14ac:dyDescent="0.3">
      <c r="A23" s="125"/>
      <c r="B23" s="125"/>
      <c r="C23" s="125"/>
      <c r="D23" s="40" t="s">
        <v>31</v>
      </c>
      <c r="E23" s="40" t="s">
        <v>25</v>
      </c>
      <c r="F23" s="40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39"/>
      <c r="M23" s="39"/>
      <c r="N23" s="39"/>
      <c r="O23" s="39"/>
      <c r="P23" s="39"/>
      <c r="Q23" s="39"/>
      <c r="R23" s="39"/>
      <c r="S23" s="39"/>
      <c r="T23" s="39"/>
      <c r="U23" s="39">
        <v>0</v>
      </c>
      <c r="V23" s="39">
        <v>0</v>
      </c>
      <c r="W23" s="39">
        <v>0</v>
      </c>
      <c r="X23" s="39">
        <v>0</v>
      </c>
      <c r="Y23" s="39">
        <f>(1 - CUSTOS!$M$26)*253.9836</f>
        <v>253.9836</v>
      </c>
      <c r="Z23" s="39">
        <v>0</v>
      </c>
      <c r="AA23" s="39">
        <v>0</v>
      </c>
      <c r="AB23" s="39"/>
      <c r="AC23" s="39">
        <f>(1 - CUSTOS!$M$26)*458.2369</f>
        <v>458.23689999999999</v>
      </c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P23" s="39">
        <f>IF((1 - CUSTOS!$M$26)&lt;&gt;0,1/(1 - CUSTOS!$M$26),1)</f>
        <v>1</v>
      </c>
    </row>
    <row r="24" spans="1:42" ht="11.25" customHeight="1" x14ac:dyDescent="0.3">
      <c r="A24" s="125"/>
      <c r="B24" s="125"/>
      <c r="C24" s="125"/>
      <c r="D24" s="40" t="s">
        <v>32</v>
      </c>
      <c r="E24" s="40" t="s">
        <v>25</v>
      </c>
      <c r="F24" s="40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39"/>
      <c r="M24" s="39"/>
      <c r="N24" s="39"/>
      <c r="O24" s="39"/>
      <c r="P24" s="39"/>
      <c r="Q24" s="39"/>
      <c r="R24" s="39"/>
      <c r="S24" s="39"/>
      <c r="T24" s="39"/>
      <c r="U24" s="39">
        <v>0</v>
      </c>
      <c r="V24" s="39">
        <v>0</v>
      </c>
      <c r="W24" s="39">
        <v>0</v>
      </c>
      <c r="X24" s="39">
        <v>0</v>
      </c>
      <c r="Y24" s="39">
        <f>(1 - CUSTOS!$M$27)*253.9836</f>
        <v>253.9836</v>
      </c>
      <c r="Z24" s="39">
        <v>0</v>
      </c>
      <c r="AA24" s="39">
        <v>0</v>
      </c>
      <c r="AB24" s="39"/>
      <c r="AC24" s="39">
        <f>(1 - CUSTOS!$M$27)*458.2369</f>
        <v>458.23689999999999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P24" s="39">
        <f>IF((1 - CUSTOS!$M$27)&lt;&gt;0,1/(1 - CUSTOS!$M$27),1)</f>
        <v>1</v>
      </c>
    </row>
    <row r="25" spans="1:42" ht="11.25" customHeight="1" x14ac:dyDescent="0.3">
      <c r="A25" s="125"/>
      <c r="B25" s="125" t="s">
        <v>84</v>
      </c>
      <c r="C25" s="125" t="s">
        <v>24</v>
      </c>
      <c r="D25" s="40" t="s">
        <v>24</v>
      </c>
      <c r="E25" s="40" t="s">
        <v>25</v>
      </c>
      <c r="F25" s="40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39"/>
      <c r="M25" s="39"/>
      <c r="N25" s="39"/>
      <c r="O25" s="39"/>
      <c r="P25" s="39"/>
      <c r="Q25" s="39"/>
      <c r="R25" s="39"/>
      <c r="S25" s="39"/>
      <c r="T25" s="39"/>
      <c r="U25" s="39">
        <v>0</v>
      </c>
      <c r="V25" s="39">
        <v>0</v>
      </c>
      <c r="W25" s="39">
        <v>0</v>
      </c>
      <c r="X25" s="39">
        <v>0</v>
      </c>
      <c r="Y25" s="39">
        <v>253.9836</v>
      </c>
      <c r="Z25" s="39">
        <v>0</v>
      </c>
      <c r="AA25" s="39">
        <v>0</v>
      </c>
      <c r="AB25" s="39"/>
      <c r="AC25" s="39">
        <v>458.23689999999999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P25" s="39">
        <v>1</v>
      </c>
    </row>
    <row r="26" spans="1:42" ht="11.25" customHeight="1" x14ac:dyDescent="0.3">
      <c r="A26" s="125"/>
      <c r="B26" s="125"/>
      <c r="C26" s="125"/>
      <c r="D26" s="40" t="s">
        <v>29</v>
      </c>
      <c r="E26" s="40" t="s">
        <v>25</v>
      </c>
      <c r="F26" s="40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39"/>
      <c r="M26" s="39"/>
      <c r="N26" s="39"/>
      <c r="O26" s="39"/>
      <c r="P26" s="39"/>
      <c r="Q26" s="39"/>
      <c r="R26" s="39"/>
      <c r="S26" s="39"/>
      <c r="T26" s="39"/>
      <c r="U26" s="39">
        <v>0</v>
      </c>
      <c r="V26" s="39">
        <v>0</v>
      </c>
      <c r="W26" s="39">
        <v>0</v>
      </c>
      <c r="X26" s="39">
        <v>0</v>
      </c>
      <c r="Y26" s="39">
        <f>(1 - CUSTOS!$M$24)*253.9836</f>
        <v>253.9836</v>
      </c>
      <c r="Z26" s="39">
        <v>0</v>
      </c>
      <c r="AA26" s="39">
        <v>0</v>
      </c>
      <c r="AB26" s="39"/>
      <c r="AC26" s="39">
        <f>(1 - CUSTOS!$M$24)*458.2369</f>
        <v>458.23689999999999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P26" s="39">
        <f>IF((1 - CUSTOS!$M$24)&lt;&gt;0,1/(1 - CUSTOS!$M$24),1)</f>
        <v>1</v>
      </c>
    </row>
    <row r="27" spans="1:42" ht="11.25" customHeight="1" x14ac:dyDescent="0.3">
      <c r="A27" s="125"/>
      <c r="B27" s="125"/>
      <c r="C27" s="125"/>
      <c r="D27" s="40" t="s">
        <v>30</v>
      </c>
      <c r="E27" s="40" t="s">
        <v>25</v>
      </c>
      <c r="F27" s="40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39"/>
      <c r="M27" s="39"/>
      <c r="N27" s="39"/>
      <c r="O27" s="39"/>
      <c r="P27" s="39"/>
      <c r="Q27" s="39"/>
      <c r="R27" s="39"/>
      <c r="S27" s="39"/>
      <c r="T27" s="39"/>
      <c r="U27" s="39">
        <v>0</v>
      </c>
      <c r="V27" s="39">
        <v>0</v>
      </c>
      <c r="W27" s="39">
        <v>0</v>
      </c>
      <c r="X27" s="39">
        <v>0</v>
      </c>
      <c r="Y27" s="39">
        <f>(1 - CUSTOS!$M$25)*253.9836</f>
        <v>253.9836</v>
      </c>
      <c r="Z27" s="39">
        <v>0</v>
      </c>
      <c r="AA27" s="39">
        <v>0</v>
      </c>
      <c r="AB27" s="39"/>
      <c r="AC27" s="39">
        <f>(1 - CUSTOS!$M$25)*458.2369</f>
        <v>458.23689999999999</v>
      </c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P27" s="39">
        <f>IF((1 - CUSTOS!$M$25)&lt;&gt;0,1/(1 - CUSTOS!$M$25),1)</f>
        <v>1</v>
      </c>
    </row>
    <row r="28" spans="1:42" ht="11.25" customHeight="1" x14ac:dyDescent="0.3">
      <c r="A28" s="125"/>
      <c r="B28" s="125"/>
      <c r="C28" s="125"/>
      <c r="D28" s="40" t="s">
        <v>31</v>
      </c>
      <c r="E28" s="40" t="s">
        <v>25</v>
      </c>
      <c r="F28" s="40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39"/>
      <c r="M28" s="39"/>
      <c r="N28" s="39"/>
      <c r="O28" s="39"/>
      <c r="P28" s="39"/>
      <c r="Q28" s="39"/>
      <c r="R28" s="39"/>
      <c r="S28" s="39"/>
      <c r="T28" s="39"/>
      <c r="U28" s="39">
        <v>0</v>
      </c>
      <c r="V28" s="39">
        <v>0</v>
      </c>
      <c r="W28" s="39">
        <v>0</v>
      </c>
      <c r="X28" s="39">
        <v>0</v>
      </c>
      <c r="Y28" s="39">
        <f>(1 - CUSTOS!$M$26)*253.9836</f>
        <v>253.9836</v>
      </c>
      <c r="Z28" s="39">
        <v>0</v>
      </c>
      <c r="AA28" s="39">
        <v>0</v>
      </c>
      <c r="AB28" s="39"/>
      <c r="AC28" s="39">
        <f>(1 - CUSTOS!$M$26)*458.2369</f>
        <v>458.23689999999999</v>
      </c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P28" s="39">
        <f>IF((1 - CUSTOS!$M$26)&lt;&gt;0,1/(1 - CUSTOS!$M$26),1)</f>
        <v>1</v>
      </c>
    </row>
    <row r="29" spans="1:42" ht="11.25" customHeight="1" x14ac:dyDescent="0.3">
      <c r="A29" s="125"/>
      <c r="B29" s="125"/>
      <c r="C29" s="125"/>
      <c r="D29" s="40" t="s">
        <v>32</v>
      </c>
      <c r="E29" s="40" t="s">
        <v>25</v>
      </c>
      <c r="F29" s="40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39"/>
      <c r="M29" s="39"/>
      <c r="N29" s="39"/>
      <c r="O29" s="39"/>
      <c r="P29" s="39"/>
      <c r="Q29" s="39"/>
      <c r="R29" s="39"/>
      <c r="S29" s="39"/>
      <c r="T29" s="39"/>
      <c r="U29" s="39">
        <v>0</v>
      </c>
      <c r="V29" s="39">
        <v>0</v>
      </c>
      <c r="W29" s="39">
        <v>0</v>
      </c>
      <c r="X29" s="39">
        <v>0</v>
      </c>
      <c r="Y29" s="39">
        <f>(1 - CUSTOS!$M$27)*253.9836</f>
        <v>253.9836</v>
      </c>
      <c r="Z29" s="39">
        <v>0</v>
      </c>
      <c r="AA29" s="39">
        <v>0</v>
      </c>
      <c r="AB29" s="39"/>
      <c r="AC29" s="39">
        <f>(1 - CUSTOS!$M$27)*458.2369</f>
        <v>458.23689999999999</v>
      </c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P29" s="39">
        <f>IF((1 - CUSTOS!$M$27)&lt;&gt;0,1/(1 - CUSTOS!$M$27),1)</f>
        <v>1</v>
      </c>
    </row>
    <row r="30" spans="1:42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39"/>
      <c r="M30" s="39"/>
      <c r="N30" s="39"/>
      <c r="O30" s="39"/>
      <c r="P30" s="39"/>
      <c r="Q30" s="39"/>
      <c r="R30" s="39"/>
      <c r="S30" s="39"/>
      <c r="T30" s="39"/>
      <c r="U30" s="39">
        <v>0</v>
      </c>
      <c r="V30" s="39">
        <v>0</v>
      </c>
      <c r="W30" s="39">
        <v>0</v>
      </c>
      <c r="X30" s="39">
        <v>0</v>
      </c>
      <c r="Y30" s="39">
        <f>(1 - CUSTOS!$M$28)*761.9498</f>
        <v>761.94979999999998</v>
      </c>
      <c r="Z30" s="39">
        <v>0</v>
      </c>
      <c r="AA30" s="39">
        <v>0</v>
      </c>
      <c r="AB30" s="39"/>
      <c r="AC30" s="39">
        <f>(1 - CUSTOS!$M$28)*1374.7108</f>
        <v>1374.7108000000001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P30" s="39">
        <f>IF((1 - CUSTOS!$M$28)&lt;&gt;0,1/(1 - CUSTOS!$M$28),1)</f>
        <v>1</v>
      </c>
    </row>
    <row r="31" spans="1:42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39"/>
      <c r="M31" s="39"/>
      <c r="N31" s="39"/>
      <c r="O31" s="39"/>
      <c r="P31" s="39"/>
      <c r="Q31" s="39"/>
      <c r="R31" s="39"/>
      <c r="S31" s="39"/>
      <c r="T31" s="39"/>
      <c r="U31" s="39">
        <v>0</v>
      </c>
      <c r="V31" s="39">
        <v>0</v>
      </c>
      <c r="W31" s="39">
        <v>0</v>
      </c>
      <c r="X31" s="39">
        <v>0</v>
      </c>
      <c r="Y31" s="39">
        <f>(1 - CUSTOS!$M$28)*457.1684</f>
        <v>457.16840000000002</v>
      </c>
      <c r="Z31" s="39">
        <v>0</v>
      </c>
      <c r="AA31" s="39">
        <v>0</v>
      </c>
      <c r="AB31" s="39"/>
      <c r="AC31" s="39">
        <f>(1 - CUSTOS!$M$28)*824.8265</f>
        <v>824.82650000000001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P31" s="39">
        <f>IF((1 - CUSTOS!$M$28)&lt;&gt;0,1/(1 - CUSTOS!$M$28),1)</f>
        <v>1</v>
      </c>
    </row>
    <row r="32" spans="1:42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39"/>
      <c r="M32" s="39"/>
      <c r="N32" s="39"/>
      <c r="O32" s="39"/>
      <c r="P32" s="39"/>
      <c r="Q32" s="39"/>
      <c r="R32" s="39"/>
      <c r="S32" s="39"/>
      <c r="T32" s="39"/>
      <c r="U32" s="39">
        <v>0</v>
      </c>
      <c r="V32" s="39">
        <v>0</v>
      </c>
      <c r="W32" s="39">
        <v>0</v>
      </c>
      <c r="X32" s="39">
        <v>0</v>
      </c>
      <c r="Y32" s="39">
        <f>(1 - CUSTOS!$M$28)*152.3906</f>
        <v>152.39060000000001</v>
      </c>
      <c r="Z32" s="39">
        <v>0</v>
      </c>
      <c r="AA32" s="39">
        <v>0</v>
      </c>
      <c r="AB32" s="39"/>
      <c r="AC32" s="39">
        <f>(1 - CUSTOS!$M$28)*274.9423</f>
        <v>274.94229999999999</v>
      </c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P32" s="39">
        <f>IF((1 - CUSTOS!$M$28)&lt;&gt;0,1/(1 - CUSTOS!$M$28),1)</f>
        <v>1</v>
      </c>
    </row>
    <row r="33" spans="1:42" ht="11.25" customHeight="1" x14ac:dyDescent="0.3">
      <c r="A33" s="125"/>
      <c r="B33" s="40" t="s">
        <v>23</v>
      </c>
      <c r="C33" s="40" t="s">
        <v>41</v>
      </c>
      <c r="D33" s="40" t="s">
        <v>25</v>
      </c>
      <c r="E33" s="40" t="s">
        <v>25</v>
      </c>
      <c r="F33" s="40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39"/>
      <c r="M33" s="39"/>
      <c r="N33" s="39"/>
      <c r="O33" s="39"/>
      <c r="P33" s="39"/>
      <c r="Q33" s="39"/>
      <c r="R33" s="39"/>
      <c r="S33" s="39"/>
      <c r="T33" s="39"/>
      <c r="U33" s="39">
        <v>0</v>
      </c>
      <c r="V33" s="39">
        <v>0</v>
      </c>
      <c r="W33" s="39">
        <v>0</v>
      </c>
      <c r="X33" s="39">
        <v>0</v>
      </c>
      <c r="Y33" s="39">
        <f>(1 - CUSTOS!$M$28)*253.9836</f>
        <v>253.9836</v>
      </c>
      <c r="Z33" s="39">
        <v>0</v>
      </c>
      <c r="AA33" s="39">
        <v>0</v>
      </c>
      <c r="AB33" s="39"/>
      <c r="AC33" s="39">
        <f>(1 - CUSTOS!$M$28)*458.2369</f>
        <v>458.23689999999999</v>
      </c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P33" s="39">
        <f>IF((1 - CUSTOS!$M$28)&lt;&gt;0,1/(1 - CUSTOS!$M$28),1)</f>
        <v>1</v>
      </c>
    </row>
    <row r="34" spans="1:42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39"/>
      <c r="M34" s="39"/>
      <c r="N34" s="39"/>
      <c r="O34" s="39"/>
      <c r="P34" s="39"/>
      <c r="Q34" s="39"/>
      <c r="R34" s="39"/>
      <c r="S34" s="39"/>
      <c r="T34" s="39"/>
      <c r="U34" s="39">
        <v>0</v>
      </c>
      <c r="V34" s="39">
        <v>0</v>
      </c>
      <c r="W34" s="39">
        <v>0</v>
      </c>
      <c r="X34" s="39">
        <v>0</v>
      </c>
      <c r="Y34" s="39">
        <f>(1 - CUSTOS!$M$29)*761.9498</f>
        <v>761.94979999999998</v>
      </c>
      <c r="Z34" s="39">
        <v>0</v>
      </c>
      <c r="AA34" s="39">
        <v>0</v>
      </c>
      <c r="AB34" s="39"/>
      <c r="AC34" s="39">
        <f>(1 - CUSTOS!$M$29)*1374.7108</f>
        <v>1374.7108000000001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P34" s="39">
        <f>IF((1 - CUSTOS!$M$29)&lt;&gt;0,1/(1 - CUSTOS!$M$29),1)</f>
        <v>1</v>
      </c>
    </row>
    <row r="35" spans="1:42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39"/>
      <c r="M35" s="39"/>
      <c r="N35" s="39"/>
      <c r="O35" s="39"/>
      <c r="P35" s="39"/>
      <c r="Q35" s="39"/>
      <c r="R35" s="39"/>
      <c r="S35" s="39"/>
      <c r="T35" s="39"/>
      <c r="U35" s="39">
        <v>0</v>
      </c>
      <c r="V35" s="39">
        <v>0</v>
      </c>
      <c r="W35" s="39">
        <v>0</v>
      </c>
      <c r="X35" s="39">
        <v>0</v>
      </c>
      <c r="Y35" s="39">
        <f>(1 - CUSTOS!$M$29)*457.1684</f>
        <v>457.16840000000002</v>
      </c>
      <c r="Z35" s="39">
        <v>0</v>
      </c>
      <c r="AA35" s="39">
        <v>0</v>
      </c>
      <c r="AB35" s="39"/>
      <c r="AC35" s="39">
        <f>(1 - CUSTOS!$M$29)*824.8265</f>
        <v>824.82650000000001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39">
        <f>IF((1 - CUSTOS!$M$29)&lt;&gt;0,1/(1 - CUSTOS!$M$29),1)</f>
        <v>1</v>
      </c>
    </row>
    <row r="36" spans="1:42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39"/>
      <c r="M36" s="39"/>
      <c r="N36" s="39"/>
      <c r="O36" s="39"/>
      <c r="P36" s="39"/>
      <c r="Q36" s="39"/>
      <c r="R36" s="39"/>
      <c r="S36" s="39"/>
      <c r="T36" s="39"/>
      <c r="U36" s="39">
        <v>0</v>
      </c>
      <c r="V36" s="39">
        <v>0</v>
      </c>
      <c r="W36" s="39">
        <v>0</v>
      </c>
      <c r="X36" s="39">
        <v>0</v>
      </c>
      <c r="Y36" s="39">
        <f>(1 - CUSTOS!$M$29)*152.3906</f>
        <v>152.39060000000001</v>
      </c>
      <c r="Z36" s="39">
        <v>0</v>
      </c>
      <c r="AA36" s="39">
        <v>0</v>
      </c>
      <c r="AB36" s="39"/>
      <c r="AC36" s="39">
        <f>(1 - CUSTOS!$M$29)*274.9423</f>
        <v>274.94229999999999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P36" s="39">
        <f>IF((1 - CUSTOS!$M$29)&lt;&gt;0,1/(1 - CUSTOS!$M$29),1)</f>
        <v>1</v>
      </c>
    </row>
    <row r="37" spans="1:42" ht="11.25" customHeight="1" x14ac:dyDescent="0.3">
      <c r="A37" s="125"/>
      <c r="B37" s="40" t="s">
        <v>23</v>
      </c>
      <c r="C37" s="40" t="s">
        <v>41</v>
      </c>
      <c r="D37" s="40" t="s">
        <v>85</v>
      </c>
      <c r="E37" s="40" t="s">
        <v>25</v>
      </c>
      <c r="F37" s="40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39"/>
      <c r="M37" s="39"/>
      <c r="N37" s="39"/>
      <c r="O37" s="39"/>
      <c r="P37" s="39"/>
      <c r="Q37" s="39"/>
      <c r="R37" s="39"/>
      <c r="S37" s="39"/>
      <c r="T37" s="39"/>
      <c r="U37" s="39">
        <v>0</v>
      </c>
      <c r="V37" s="39">
        <v>0</v>
      </c>
      <c r="W37" s="39">
        <v>0</v>
      </c>
      <c r="X37" s="39">
        <v>0</v>
      </c>
      <c r="Y37" s="39">
        <f>(1 - CUSTOS!$M$29)*253.9836</f>
        <v>253.9836</v>
      </c>
      <c r="Z37" s="39">
        <v>0</v>
      </c>
      <c r="AA37" s="39">
        <v>0</v>
      </c>
      <c r="AB37" s="39"/>
      <c r="AC37" s="39">
        <f>(1 - CUSTOS!$M$29)*458.2369</f>
        <v>458.23689999999999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P37" s="39">
        <f>IF((1 - CUSTOS!$M$29)&lt;&gt;0,1/(1 - CUSTOS!$M$29),1)</f>
        <v>1</v>
      </c>
    </row>
    <row r="38" spans="1:42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39"/>
      <c r="M38" s="39"/>
      <c r="N38" s="39"/>
      <c r="O38" s="39"/>
      <c r="P38" s="39"/>
      <c r="Q38" s="39"/>
      <c r="R38" s="39"/>
      <c r="S38" s="39"/>
      <c r="T38" s="39"/>
      <c r="U38" s="39">
        <v>0</v>
      </c>
      <c r="V38" s="39">
        <v>0</v>
      </c>
      <c r="W38" s="39">
        <v>0</v>
      </c>
      <c r="X38" s="39">
        <v>0</v>
      </c>
      <c r="Y38" s="39">
        <f>(1 - CUSTOS!$M$30)*761.9498</f>
        <v>761.94979999999998</v>
      </c>
      <c r="Z38" s="39">
        <v>0</v>
      </c>
      <c r="AA38" s="39">
        <v>0</v>
      </c>
      <c r="AB38" s="39"/>
      <c r="AC38" s="39">
        <f>(1 - CUSTOS!$M$30)*1374.7108</f>
        <v>1374.7108000000001</v>
      </c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P38" s="39">
        <f>IF((1 - CUSTOS!$M$30)&lt;&gt;0,1/(1 - CUSTOS!$M$30),1)</f>
        <v>1</v>
      </c>
    </row>
    <row r="39" spans="1:42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39"/>
      <c r="M39" s="39"/>
      <c r="N39" s="39"/>
      <c r="O39" s="39"/>
      <c r="P39" s="39"/>
      <c r="Q39" s="39"/>
      <c r="R39" s="39"/>
      <c r="S39" s="39"/>
      <c r="T39" s="39"/>
      <c r="U39" s="39">
        <v>0</v>
      </c>
      <c r="V39" s="39">
        <v>0</v>
      </c>
      <c r="W39" s="39">
        <v>0</v>
      </c>
      <c r="X39" s="39">
        <v>0</v>
      </c>
      <c r="Y39" s="39">
        <f>(1 - CUSTOS!$M$30)*457.1684</f>
        <v>457.16840000000002</v>
      </c>
      <c r="Z39" s="39">
        <v>0</v>
      </c>
      <c r="AA39" s="39">
        <v>0</v>
      </c>
      <c r="AB39" s="39"/>
      <c r="AC39" s="39">
        <f>(1 - CUSTOS!$M$30)*824.8265</f>
        <v>824.82650000000001</v>
      </c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P39" s="39">
        <f>IF((1 - CUSTOS!$M$30)&lt;&gt;0,1/(1 - CUSTOS!$M$30),1)</f>
        <v>1</v>
      </c>
    </row>
    <row r="40" spans="1:42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39"/>
      <c r="M40" s="39"/>
      <c r="N40" s="39"/>
      <c r="O40" s="39"/>
      <c r="P40" s="39"/>
      <c r="Q40" s="39"/>
      <c r="R40" s="39"/>
      <c r="S40" s="39"/>
      <c r="T40" s="39"/>
      <c r="U40" s="39">
        <v>0</v>
      </c>
      <c r="V40" s="39">
        <v>0</v>
      </c>
      <c r="W40" s="39">
        <v>0</v>
      </c>
      <c r="X40" s="39">
        <v>0</v>
      </c>
      <c r="Y40" s="39">
        <f>(1 - CUSTOS!$M$30)*152.3906</f>
        <v>152.39060000000001</v>
      </c>
      <c r="Z40" s="39">
        <v>0</v>
      </c>
      <c r="AA40" s="39">
        <v>0</v>
      </c>
      <c r="AB40" s="39"/>
      <c r="AC40" s="39">
        <f>(1 - CUSTOS!$M$30)*274.9423</f>
        <v>274.94229999999999</v>
      </c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P40" s="39">
        <f>IF((1 - CUSTOS!$M$30)&lt;&gt;0,1/(1 - CUSTOS!$M$30),1)</f>
        <v>1</v>
      </c>
    </row>
    <row r="41" spans="1:42" ht="11.25" customHeight="1" x14ac:dyDescent="0.3">
      <c r="A41" s="125"/>
      <c r="B41" s="40" t="s">
        <v>23</v>
      </c>
      <c r="C41" s="40" t="s">
        <v>41</v>
      </c>
      <c r="D41" s="40" t="s">
        <v>86</v>
      </c>
      <c r="E41" s="40" t="s">
        <v>25</v>
      </c>
      <c r="F41" s="40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39"/>
      <c r="M41" s="39"/>
      <c r="N41" s="39"/>
      <c r="O41" s="39"/>
      <c r="P41" s="39"/>
      <c r="Q41" s="39"/>
      <c r="R41" s="39"/>
      <c r="S41" s="39"/>
      <c r="T41" s="39"/>
      <c r="U41" s="39">
        <v>0</v>
      </c>
      <c r="V41" s="39">
        <v>0</v>
      </c>
      <c r="W41" s="39">
        <v>0</v>
      </c>
      <c r="X41" s="39">
        <v>0</v>
      </c>
      <c r="Y41" s="39">
        <f>(1 - CUSTOS!$M$30)*253.9836</f>
        <v>253.9836</v>
      </c>
      <c r="Z41" s="39">
        <v>0</v>
      </c>
      <c r="AA41" s="39">
        <v>0</v>
      </c>
      <c r="AB41" s="39"/>
      <c r="AC41" s="39">
        <f>(1 - CUSTOS!$M$30)*458.2369</f>
        <v>458.23689999999999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P41" s="39">
        <f>IF((1 - CUSTOS!$M$30)&lt;&gt;0,1/(1 - CUSTOS!$M$30),1)</f>
        <v>1</v>
      </c>
    </row>
    <row r="42" spans="1:42" ht="11.25" customHeight="1" x14ac:dyDescent="0.3">
      <c r="A42" s="125"/>
      <c r="B42" s="125" t="s">
        <v>84</v>
      </c>
      <c r="C42" s="125" t="s">
        <v>41</v>
      </c>
      <c r="D42" s="40" t="s">
        <v>25</v>
      </c>
      <c r="E42" s="40" t="s">
        <v>25</v>
      </c>
      <c r="F42" s="40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39"/>
      <c r="M42" s="39"/>
      <c r="N42" s="39"/>
      <c r="O42" s="39"/>
      <c r="P42" s="39"/>
      <c r="Q42" s="39"/>
      <c r="R42" s="39"/>
      <c r="S42" s="39"/>
      <c r="T42" s="39"/>
      <c r="U42" s="39">
        <v>0</v>
      </c>
      <c r="V42" s="39">
        <v>0</v>
      </c>
      <c r="W42" s="39">
        <v>0</v>
      </c>
      <c r="X42" s="39">
        <v>0</v>
      </c>
      <c r="Y42" s="39">
        <f>(1 - CUSTOS!$M$28)*253.9836</f>
        <v>253.9836</v>
      </c>
      <c r="Z42" s="39">
        <v>0</v>
      </c>
      <c r="AA42" s="39">
        <v>0</v>
      </c>
      <c r="AB42" s="39"/>
      <c r="AC42" s="39">
        <f>(1 - CUSTOS!$M$28)*458.2369</f>
        <v>458.23689999999999</v>
      </c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P42" s="39">
        <f>IF((1 - CUSTOS!$M$28)&lt;&gt;0,1/(1 - CUSTOS!$M$28),1)</f>
        <v>1</v>
      </c>
    </row>
    <row r="43" spans="1:42" ht="11.25" customHeight="1" x14ac:dyDescent="0.3">
      <c r="A43" s="125"/>
      <c r="B43" s="125"/>
      <c r="C43" s="125"/>
      <c r="D43" s="40" t="s">
        <v>85</v>
      </c>
      <c r="E43" s="40" t="s">
        <v>25</v>
      </c>
      <c r="F43" s="40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39"/>
      <c r="M43" s="39"/>
      <c r="N43" s="39"/>
      <c r="O43" s="39"/>
      <c r="P43" s="39"/>
      <c r="Q43" s="39"/>
      <c r="R43" s="39"/>
      <c r="S43" s="39"/>
      <c r="T43" s="39"/>
      <c r="U43" s="39">
        <v>0</v>
      </c>
      <c r="V43" s="39">
        <v>0</v>
      </c>
      <c r="W43" s="39">
        <v>0</v>
      </c>
      <c r="X43" s="39">
        <v>0</v>
      </c>
      <c r="Y43" s="39">
        <f>(1 - CUSTOS!$M$29)*253.9836</f>
        <v>253.9836</v>
      </c>
      <c r="Z43" s="39">
        <v>0</v>
      </c>
      <c r="AA43" s="39">
        <v>0</v>
      </c>
      <c r="AB43" s="39"/>
      <c r="AC43" s="39">
        <f>(1 - CUSTOS!$M$29)*458.2369</f>
        <v>458.23689999999999</v>
      </c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P43" s="39">
        <f>IF((1 - CUSTOS!$M$29)&lt;&gt;0,1/(1 - CUSTOS!$M$29),1)</f>
        <v>1</v>
      </c>
    </row>
    <row r="44" spans="1:42" ht="11.25" customHeight="1" x14ac:dyDescent="0.3">
      <c r="A44" s="125"/>
      <c r="B44" s="125"/>
      <c r="C44" s="125"/>
      <c r="D44" s="40" t="s">
        <v>86</v>
      </c>
      <c r="E44" s="40" t="s">
        <v>25</v>
      </c>
      <c r="F44" s="40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39"/>
      <c r="M44" s="39"/>
      <c r="N44" s="39"/>
      <c r="O44" s="39"/>
      <c r="P44" s="39"/>
      <c r="Q44" s="39"/>
      <c r="R44" s="39"/>
      <c r="S44" s="39"/>
      <c r="T44" s="39"/>
      <c r="U44" s="39">
        <v>0</v>
      </c>
      <c r="V44" s="39">
        <v>0</v>
      </c>
      <c r="W44" s="39">
        <v>0</v>
      </c>
      <c r="X44" s="39">
        <v>0</v>
      </c>
      <c r="Y44" s="39">
        <f>(1 - CUSTOS!$M$30)*253.9836</f>
        <v>253.9836</v>
      </c>
      <c r="Z44" s="39">
        <v>0</v>
      </c>
      <c r="AA44" s="39">
        <v>0</v>
      </c>
      <c r="AB44" s="39"/>
      <c r="AC44" s="39">
        <f>(1 - CUSTOS!$M$30)*458.2369</f>
        <v>458.23689999999999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P44" s="39">
        <f>IF((1 - CUSTOS!$M$30)&lt;&gt;0,1/(1 - CUSTOS!$M$30),1)</f>
        <v>1</v>
      </c>
    </row>
    <row r="45" spans="1:42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39"/>
      <c r="M45" s="39"/>
      <c r="N45" s="39"/>
      <c r="O45" s="39"/>
      <c r="P45" s="39"/>
      <c r="Q45" s="39"/>
      <c r="R45" s="39"/>
      <c r="S45" s="39"/>
      <c r="T45" s="39"/>
      <c r="U45" s="39">
        <v>0</v>
      </c>
      <c r="V45" s="39">
        <v>0</v>
      </c>
      <c r="W45" s="39">
        <v>0</v>
      </c>
      <c r="X45" s="39">
        <v>0</v>
      </c>
      <c r="Y45" s="39">
        <f>(1 - CUSTOS!$M$31)*863.5423</f>
        <v>863.54229999999995</v>
      </c>
      <c r="Z45" s="39">
        <v>0</v>
      </c>
      <c r="AA45" s="39">
        <v>0</v>
      </c>
      <c r="AB45" s="39"/>
      <c r="AC45" s="39">
        <f>(1 - CUSTOS!$M$31)*1558.0055</f>
        <v>1558.0055</v>
      </c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P45" s="39">
        <f>IF((1 - CUSTOS!$M$31)&lt;&gt;0,1/(1 - CUSTOS!$M$31),1)</f>
        <v>1</v>
      </c>
    </row>
    <row r="46" spans="1:42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39"/>
      <c r="M46" s="39"/>
      <c r="N46" s="39"/>
      <c r="O46" s="39"/>
      <c r="P46" s="39"/>
      <c r="Q46" s="39"/>
      <c r="R46" s="39"/>
      <c r="S46" s="39"/>
      <c r="T46" s="39"/>
      <c r="U46" s="39">
        <v>0</v>
      </c>
      <c r="V46" s="39">
        <v>0</v>
      </c>
      <c r="W46" s="39">
        <v>0</v>
      </c>
      <c r="X46" s="39">
        <v>0</v>
      </c>
      <c r="Y46" s="39">
        <f>(1 - CUSTOS!$M$31)*518.126</f>
        <v>518.12599999999998</v>
      </c>
      <c r="Z46" s="39">
        <v>0</v>
      </c>
      <c r="AA46" s="39">
        <v>0</v>
      </c>
      <c r="AB46" s="39"/>
      <c r="AC46" s="39">
        <f>(1 - CUSTOS!$M$31)*934.8032</f>
        <v>934.80319999999995</v>
      </c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P46" s="39">
        <f>IF((1 - CUSTOS!$M$31)&lt;&gt;0,1/(1 - CUSTOS!$M$31),1)</f>
        <v>1</v>
      </c>
    </row>
    <row r="47" spans="1:42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39"/>
      <c r="M47" s="39"/>
      <c r="N47" s="39"/>
      <c r="O47" s="39"/>
      <c r="P47" s="39"/>
      <c r="Q47" s="39"/>
      <c r="R47" s="39"/>
      <c r="S47" s="39"/>
      <c r="T47" s="39"/>
      <c r="U47" s="39">
        <v>0</v>
      </c>
      <c r="V47" s="39">
        <v>0</v>
      </c>
      <c r="W47" s="39">
        <v>0</v>
      </c>
      <c r="X47" s="39">
        <v>0</v>
      </c>
      <c r="Y47" s="39">
        <f>(1 - CUSTOS!$M$31)*172.7097</f>
        <v>172.7097</v>
      </c>
      <c r="Z47" s="39">
        <v>0</v>
      </c>
      <c r="AA47" s="39">
        <v>0</v>
      </c>
      <c r="AB47" s="39"/>
      <c r="AC47" s="39">
        <f>(1 - CUSTOS!$M$31)*311.6011</f>
        <v>311.60109999999997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P47" s="39">
        <f>IF((1 - CUSTOS!$M$31)&lt;&gt;0,1/(1 - CUSTOS!$M$31),1)</f>
        <v>1</v>
      </c>
    </row>
    <row r="48" spans="1:42" ht="11.25" customHeight="1" x14ac:dyDescent="0.3">
      <c r="A48" s="125"/>
      <c r="B48" s="40" t="s">
        <v>23</v>
      </c>
      <c r="C48" s="40" t="s">
        <v>25</v>
      </c>
      <c r="D48" s="40" t="s">
        <v>25</v>
      </c>
      <c r="E48" s="40" t="s">
        <v>25</v>
      </c>
      <c r="F48" s="40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39"/>
      <c r="M48" s="39"/>
      <c r="N48" s="39"/>
      <c r="O48" s="39"/>
      <c r="P48" s="39"/>
      <c r="Q48" s="39"/>
      <c r="R48" s="39"/>
      <c r="S48" s="39"/>
      <c r="T48" s="39"/>
      <c r="U48" s="39">
        <v>0</v>
      </c>
      <c r="V48" s="39">
        <v>0</v>
      </c>
      <c r="W48" s="39">
        <v>0</v>
      </c>
      <c r="X48" s="39">
        <v>0</v>
      </c>
      <c r="Y48" s="39">
        <f>(1 - CUSTOS!$M$31)*253.9836</f>
        <v>253.9836</v>
      </c>
      <c r="Z48" s="39">
        <v>0</v>
      </c>
      <c r="AA48" s="39">
        <v>0</v>
      </c>
      <c r="AB48" s="39"/>
      <c r="AC48" s="39">
        <f>(1 - CUSTOS!$M$31)*458.2369</f>
        <v>458.23689999999999</v>
      </c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P48" s="39">
        <f>IF((1 - CUSTOS!$M$31)&lt;&gt;0,1/(1 - CUSTOS!$M$31),1)</f>
        <v>1</v>
      </c>
    </row>
    <row r="49" spans="1:42" ht="11.25" customHeight="1" x14ac:dyDescent="0.3">
      <c r="A49" s="125"/>
      <c r="B49" s="40" t="s">
        <v>84</v>
      </c>
      <c r="C49" s="40" t="s">
        <v>25</v>
      </c>
      <c r="D49" s="40" t="s">
        <v>25</v>
      </c>
      <c r="E49" s="40" t="s">
        <v>25</v>
      </c>
      <c r="F49" s="40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39"/>
      <c r="M49" s="39"/>
      <c r="N49" s="39"/>
      <c r="O49" s="39"/>
      <c r="P49" s="39"/>
      <c r="Q49" s="39"/>
      <c r="R49" s="39"/>
      <c r="S49" s="39"/>
      <c r="T49" s="39"/>
      <c r="U49" s="39">
        <v>0</v>
      </c>
      <c r="V49" s="39">
        <v>0</v>
      </c>
      <c r="W49" s="39">
        <v>0</v>
      </c>
      <c r="X49" s="39">
        <v>0</v>
      </c>
      <c r="Y49" s="39">
        <f>(1 - CUSTOS!$M$31)*253.9836</f>
        <v>253.9836</v>
      </c>
      <c r="Z49" s="39">
        <v>0</v>
      </c>
      <c r="AA49" s="39">
        <v>0</v>
      </c>
      <c r="AB49" s="39"/>
      <c r="AC49" s="39">
        <f>(1 - CUSTOS!$M$31)*458.2369</f>
        <v>458.23689999999999</v>
      </c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P49" s="39">
        <f>IF((1 - CUSTOS!$M$31)&lt;&gt;0,1/(1 - CUSTOS!$M$31),1)</f>
        <v>1</v>
      </c>
    </row>
    <row r="50" spans="1:42" ht="11.25" customHeight="1" x14ac:dyDescent="0.3">
      <c r="A50" s="125" t="s">
        <v>43</v>
      </c>
      <c r="B50" s="125" t="s">
        <v>23</v>
      </c>
      <c r="C50" s="125" t="s">
        <v>44</v>
      </c>
      <c r="D50" s="40" t="s">
        <v>45</v>
      </c>
      <c r="E50" s="40" t="s">
        <v>25</v>
      </c>
      <c r="F50" s="40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39"/>
      <c r="M50" s="39"/>
      <c r="N50" s="39"/>
      <c r="O50" s="39"/>
      <c r="P50" s="39"/>
      <c r="Q50" s="39"/>
      <c r="R50" s="39"/>
      <c r="S50" s="39"/>
      <c r="T50" s="39"/>
      <c r="U50" s="39">
        <v>0</v>
      </c>
      <c r="V50" s="39">
        <v>0</v>
      </c>
      <c r="W50" s="39">
        <v>0</v>
      </c>
      <c r="X50" s="39">
        <v>0</v>
      </c>
      <c r="Y50" s="39">
        <f>(1 - CUSTOS!$M$32)*253.9836</f>
        <v>134.61130800000001</v>
      </c>
      <c r="Z50" s="39">
        <v>0</v>
      </c>
      <c r="AA50" s="39">
        <v>0</v>
      </c>
      <c r="AB50" s="39"/>
      <c r="AC50" s="39">
        <f>(1 - CUSTOS!$M$32)*458.2369</f>
        <v>242.865557</v>
      </c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P50" s="39">
        <f>IF((1 - CUSTOS!$M$32)&lt;&gt;0,1/(1 - CUSTOS!$M$32),1)</f>
        <v>1.8867924528301885</v>
      </c>
    </row>
    <row r="51" spans="1:42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39"/>
      <c r="M51" s="39"/>
      <c r="N51" s="39"/>
      <c r="O51" s="39"/>
      <c r="P51" s="39"/>
      <c r="Q51" s="39"/>
      <c r="R51" s="39"/>
      <c r="S51" s="39"/>
      <c r="T51" s="39"/>
      <c r="U51" s="39">
        <v>0</v>
      </c>
      <c r="V51" s="39">
        <v>0</v>
      </c>
      <c r="W51" s="39">
        <v>0</v>
      </c>
      <c r="X51" s="39">
        <v>0</v>
      </c>
      <c r="Y51" s="39">
        <f>(1 - CUSTOS!$M$33)*253.9836</f>
        <v>147.31048800000002</v>
      </c>
      <c r="Z51" s="39">
        <v>0</v>
      </c>
      <c r="AA51" s="39">
        <v>0</v>
      </c>
      <c r="AB51" s="39"/>
      <c r="AC51" s="39">
        <f>(1 - CUSTOS!$M$33)*458.2369</f>
        <v>265.77740200000005</v>
      </c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P51" s="39">
        <f>IF((1 - CUSTOS!$M$33)&lt;&gt;0,1/(1 - CUSTOS!$M$33),1)</f>
        <v>1.7241379310344827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CDBD-4036-4FC9-B3F6-A68170859C6D}">
  <dimension ref="A1:AP70"/>
  <sheetViews>
    <sheetView showGridLines="0" topLeftCell="C38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448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449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/>
      <c r="U3" s="122" t="s">
        <v>357</v>
      </c>
      <c r="V3" s="122"/>
      <c r="W3" s="122"/>
      <c r="X3" s="122"/>
      <c r="Y3" s="122"/>
      <c r="Z3" s="122"/>
      <c r="AA3" s="122"/>
      <c r="AB3" s="122"/>
      <c r="AC3" s="122" t="s">
        <v>365</v>
      </c>
      <c r="AD3" s="122"/>
      <c r="AE3" s="122" t="s">
        <v>367</v>
      </c>
      <c r="AF3" s="122"/>
      <c r="AG3" s="122"/>
      <c r="AH3" s="122" t="s">
        <v>370</v>
      </c>
      <c r="AI3" s="122"/>
      <c r="AJ3" s="122"/>
      <c r="AK3" s="122"/>
      <c r="AL3" s="122"/>
      <c r="AM3" s="122" t="s">
        <v>356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10" t="s">
        <v>432</v>
      </c>
      <c r="M4" s="10" t="s">
        <v>349</v>
      </c>
      <c r="N4" s="10" t="s">
        <v>350</v>
      </c>
      <c r="O4" s="10" t="s">
        <v>351</v>
      </c>
      <c r="P4" s="10" t="s">
        <v>352</v>
      </c>
      <c r="Q4" s="10" t="s">
        <v>353</v>
      </c>
      <c r="R4" s="10" t="s">
        <v>354</v>
      </c>
      <c r="S4" s="10" t="s">
        <v>355</v>
      </c>
      <c r="T4" s="10" t="s">
        <v>356</v>
      </c>
      <c r="U4" s="10" t="s">
        <v>358</v>
      </c>
      <c r="V4" s="10" t="s">
        <v>359</v>
      </c>
      <c r="W4" s="10" t="s">
        <v>360</v>
      </c>
      <c r="X4" s="10" t="s">
        <v>361</v>
      </c>
      <c r="Y4" s="10" t="s">
        <v>362</v>
      </c>
      <c r="Z4" s="10" t="s">
        <v>363</v>
      </c>
      <c r="AA4" s="10" t="s">
        <v>364</v>
      </c>
      <c r="AB4" s="10" t="s">
        <v>356</v>
      </c>
      <c r="AC4" s="10" t="s">
        <v>366</v>
      </c>
      <c r="AD4" s="10" t="s">
        <v>356</v>
      </c>
      <c r="AE4" s="10" t="s">
        <v>368</v>
      </c>
      <c r="AF4" s="10" t="s">
        <v>369</v>
      </c>
      <c r="AG4" s="10" t="s">
        <v>356</v>
      </c>
      <c r="AH4" s="10" t="s">
        <v>371</v>
      </c>
      <c r="AI4" s="10" t="s">
        <v>372</v>
      </c>
      <c r="AJ4" s="10" t="s">
        <v>373</v>
      </c>
      <c r="AK4" s="10" t="s">
        <v>374</v>
      </c>
      <c r="AL4" s="10" t="s">
        <v>356</v>
      </c>
      <c r="AM4" s="124"/>
      <c r="AP4" s="123"/>
    </row>
    <row r="5" spans="1:42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/>
      <c r="U5" s="19">
        <f>TRANSICAO!$U$5*CUSTOS!$R$3</f>
        <v>0</v>
      </c>
      <c r="V5" s="19">
        <f>TRANSICAO!$V$5*CUSTOS!$R$3</f>
        <v>0</v>
      </c>
      <c r="W5" s="19">
        <f>TRANSICAO!$W$5*CUSTOS!$R$3</f>
        <v>0</v>
      </c>
      <c r="X5" s="19">
        <f>TRANSICAO!$X$5*CUSTOS!$R$3</f>
        <v>0</v>
      </c>
      <c r="Y5" s="19">
        <f>TRANSICAO!$Y$5*CUSTOS!$R$3</f>
        <v>58.206600000000002</v>
      </c>
      <c r="Z5" s="19">
        <f>TRANSICAO!$Z$5*CUSTOS!$R$3</f>
        <v>0</v>
      </c>
      <c r="AA5" s="19">
        <f>TRANSICAO!$AA$5*CUSTOS!$R$3</f>
        <v>0</v>
      </c>
      <c r="AB5" s="19">
        <f>TRANSICAO!$AB$5*CUSTOS!$R$3</f>
        <v>0</v>
      </c>
      <c r="AC5" s="19">
        <f>TRANSICAO!$AC$5*CUSTOS!$R$3</f>
        <v>100.4937</v>
      </c>
      <c r="AD5" s="19">
        <f>TRANSICAO!$AD$5*CUSTOS!$R$3</f>
        <v>0</v>
      </c>
      <c r="AE5" s="19">
        <v>0</v>
      </c>
      <c r="AF5" s="19">
        <v>0</v>
      </c>
      <c r="AG5" s="19"/>
      <c r="AH5" s="19">
        <v>0</v>
      </c>
      <c r="AI5" s="19">
        <v>0</v>
      </c>
      <c r="AJ5" s="19">
        <v>0</v>
      </c>
      <c r="AK5" s="19">
        <f t="shared" ref="AK5:AK51" si="0">AJ5</f>
        <v>0</v>
      </c>
      <c r="AL5" s="19"/>
      <c r="AM5" s="19"/>
      <c r="AP5" s="19">
        <v>1</v>
      </c>
    </row>
    <row r="6" spans="1:42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19">
        <f>TRANSICAO!$U$6*CUSTOS!$R$3</f>
        <v>0</v>
      </c>
      <c r="V6" s="19">
        <f>TRANSICAO!$V$6*CUSTOS!$R$3</f>
        <v>0</v>
      </c>
      <c r="W6" s="19">
        <f>TRANSICAO!$W$6*CUSTOS!$R$3</f>
        <v>0</v>
      </c>
      <c r="X6" s="19">
        <f>TRANSICAO!$X$6*CUSTOS!$R$3</f>
        <v>0</v>
      </c>
      <c r="Y6" s="19">
        <f>TRANSICAO!$Y$6*CUSTOS!$R$3</f>
        <v>19.2669</v>
      </c>
      <c r="Z6" s="19">
        <f>TRANSICAO!$Z$6*CUSTOS!$R$3</f>
        <v>0</v>
      </c>
      <c r="AA6" s="19">
        <f>TRANSICAO!$AA$6*CUSTOS!$R$3</f>
        <v>0</v>
      </c>
      <c r="AB6" s="19">
        <f>TRANSICAO!$AB$6*CUSTOS!$R$3</f>
        <v>0</v>
      </c>
      <c r="AC6" s="19">
        <f>TRANSICAO!$AC$6*CUSTOS!$R$3</f>
        <v>36.933799999999998</v>
      </c>
      <c r="AD6" s="19">
        <f>TRANSICAO!$AD$6*CUSTOS!$R$3</f>
        <v>0</v>
      </c>
      <c r="AE6" s="19">
        <v>0</v>
      </c>
      <c r="AF6" s="19">
        <v>0</v>
      </c>
      <c r="AG6" s="19"/>
      <c r="AH6" s="19">
        <v>0</v>
      </c>
      <c r="AI6" s="19">
        <v>0</v>
      </c>
      <c r="AJ6" s="19">
        <v>0</v>
      </c>
      <c r="AK6" s="19">
        <f t="shared" si="0"/>
        <v>0</v>
      </c>
      <c r="AL6" s="19"/>
      <c r="AM6" s="19"/>
      <c r="AP6" s="19">
        <v>1</v>
      </c>
    </row>
    <row r="7" spans="1:42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19">
        <f>0.84</f>
        <v>0.84</v>
      </c>
      <c r="M7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7" s="19">
        <f ca="1">(+M7+O7+R7+U7+V7+W7+X7+Y7+Z7+AA7+AC7+AH7+AI7+AJ7+AK7)*CUSTOS!$M$5</f>
        <v>1.657439836447908E-13</v>
      </c>
      <c r="O7" s="19">
        <v>1</v>
      </c>
      <c r="P7" s="19">
        <v>1</v>
      </c>
      <c r="Q7" s="19">
        <f>0.84</f>
        <v>0.84</v>
      </c>
      <c r="R7" s="19">
        <v>1</v>
      </c>
      <c r="S7" s="19">
        <v>1</v>
      </c>
      <c r="T7" s="19"/>
      <c r="U7" s="19">
        <f>TRANSICAO!$U$7*CUSTOS!$R$3</f>
        <v>0</v>
      </c>
      <c r="V7" s="19">
        <f>TRANSICAO!$V$7*CUSTOS!$R$3</f>
        <v>0</v>
      </c>
      <c r="W7" s="19">
        <f>TRANSICAO!$W$7*CUSTOS!$R$3</f>
        <v>0</v>
      </c>
      <c r="X7" s="19">
        <f>TRANSICAO!$X$7*CUSTOS!$R$3</f>
        <v>0</v>
      </c>
      <c r="Y7" s="19">
        <f>TRANSICAO!$Y$7*CUSTOS!$R$3</f>
        <v>0</v>
      </c>
      <c r="Z7" s="19">
        <f>TRANSICAO!$Z$7*CUSTOS!$R$3</f>
        <v>0</v>
      </c>
      <c r="AA7" s="19">
        <f>TRANSICAO!$AA$7*CUSTOS!$R$3</f>
        <v>0</v>
      </c>
      <c r="AB7" s="19">
        <f>TRANSICAO!$AB$7*CUSTOS!$R$3</f>
        <v>0</v>
      </c>
      <c r="AC7" s="19">
        <f>TRANSICAO!$AC$7*CUSTOS!$R$3</f>
        <v>0</v>
      </c>
      <c r="AD7" s="19">
        <f>TRANSICAO!$AD$7*CUSTOS!$R$3</f>
        <v>0</v>
      </c>
      <c r="AE7" s="19">
        <v>0</v>
      </c>
      <c r="AF7" s="19">
        <v>0</v>
      </c>
      <c r="AG7" s="19"/>
      <c r="AH7" s="19">
        <v>8.9305000000000003</v>
      </c>
      <c r="AI7" s="19">
        <v>0</v>
      </c>
      <c r="AJ7" s="19">
        <f ca="1">$N$63</f>
        <v>1.8893523912893901</v>
      </c>
      <c r="AK7" s="19">
        <f t="shared" ca="1" si="0"/>
        <v>1.8893523912893901</v>
      </c>
      <c r="AL7" s="19"/>
      <c r="AM7" s="19"/>
      <c r="AP7" s="19">
        <v>1</v>
      </c>
    </row>
    <row r="8" spans="1:42" ht="11.25" customHeight="1" x14ac:dyDescent="0.3">
      <c r="A8" s="125"/>
      <c r="B8" s="125"/>
      <c r="C8" s="125"/>
      <c r="D8" s="125"/>
      <c r="E8" s="22" t="s">
        <v>75</v>
      </c>
      <c r="F8" s="22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19">
        <v>0</v>
      </c>
      <c r="M8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8" s="19">
        <f ca="1">(+M8+O8+R8+U8+V8+W8+X8+Y8+Z8+AA8+AC8+AH8+AI8+AJ8+AK8)*CUSTOS!$M$5</f>
        <v>1.5574398364479079E-13</v>
      </c>
      <c r="O8" s="19">
        <v>1</v>
      </c>
      <c r="P8" s="19">
        <v>0</v>
      </c>
      <c r="Q8" s="19">
        <v>0</v>
      </c>
      <c r="R8" s="19">
        <v>0</v>
      </c>
      <c r="S8" s="19">
        <v>0</v>
      </c>
      <c r="T8" s="19"/>
      <c r="U8" s="19">
        <f>TRANSICAO!$U$8*CUSTOS!$R$3</f>
        <v>0</v>
      </c>
      <c r="V8" s="19">
        <f>TRANSICAO!$V$8*CUSTOS!$R$3</f>
        <v>0</v>
      </c>
      <c r="W8" s="19">
        <f>TRANSICAO!$W$8*CUSTOS!$R$3</f>
        <v>0</v>
      </c>
      <c r="X8" s="19">
        <f>TRANSICAO!$X$8*CUSTOS!$R$3</f>
        <v>0</v>
      </c>
      <c r="Y8" s="19">
        <f>TRANSICAO!$Y$8*CUSTOS!$R$3</f>
        <v>0</v>
      </c>
      <c r="Z8" s="19">
        <f>TRANSICAO!$Z$8*CUSTOS!$R$3</f>
        <v>0</v>
      </c>
      <c r="AA8" s="19">
        <f>TRANSICAO!$AA$8*CUSTOS!$R$3</f>
        <v>0</v>
      </c>
      <c r="AB8" s="19">
        <f>TRANSICAO!$AB$8*CUSTOS!$R$3</f>
        <v>0</v>
      </c>
      <c r="AC8" s="19">
        <f>TRANSICAO!$AC$8*CUSTOS!$R$3</f>
        <v>0</v>
      </c>
      <c r="AD8" s="19">
        <f>TRANSICAO!$AD$8*CUSTOS!$R$3</f>
        <v>0</v>
      </c>
      <c r="AE8" s="19">
        <v>0</v>
      </c>
      <c r="AF8" s="19">
        <v>0</v>
      </c>
      <c r="AG8" s="19"/>
      <c r="AH8" s="19">
        <v>8.9305000000000003</v>
      </c>
      <c r="AI8" s="19">
        <v>0</v>
      </c>
      <c r="AJ8" s="19">
        <f ca="1">$N$63</f>
        <v>1.8893523912893901</v>
      </c>
      <c r="AK8" s="19">
        <f t="shared" ca="1" si="0"/>
        <v>1.8893523912893901</v>
      </c>
      <c r="AL8" s="19"/>
      <c r="AM8" s="19"/>
      <c r="AP8" s="19">
        <v>1</v>
      </c>
    </row>
    <row r="9" spans="1:42" ht="11.25" customHeight="1" x14ac:dyDescent="0.3">
      <c r="A9" s="125"/>
      <c r="B9" s="22" t="s">
        <v>76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19">
        <f>TRANSICAO!$U$9*CUSTOS!$R$4</f>
        <v>0</v>
      </c>
      <c r="V9" s="19">
        <f>TRANSICAO!$V$9*CUSTOS!$R$4</f>
        <v>0</v>
      </c>
      <c r="W9" s="19">
        <f>TRANSICAO!$W$9*CUSTOS!$R$4</f>
        <v>0</v>
      </c>
      <c r="X9" s="19">
        <f>TRANSICAO!$X$9*CUSTOS!$R$4</f>
        <v>0</v>
      </c>
      <c r="Y9" s="19">
        <f>TRANSICAO!$Y$9*CUSTOS!$R$4</f>
        <v>0</v>
      </c>
      <c r="Z9" s="19">
        <f>TRANSICAO!$Z$9*CUSTOS!$R$4</f>
        <v>0</v>
      </c>
      <c r="AA9" s="19">
        <f>TRANSICAO!$AA$9*CUSTOS!$R$4</f>
        <v>0</v>
      </c>
      <c r="AB9" s="19">
        <f>TRANSICAO!$AB$9*CUSTOS!$R$4</f>
        <v>0</v>
      </c>
      <c r="AC9" s="19">
        <f>TRANSICAO!$AC$9*CUSTOS!$R$4</f>
        <v>11.6122</v>
      </c>
      <c r="AD9" s="19">
        <f>TRANSICAO!$AD$9*CUSTOS!$R$4</f>
        <v>0</v>
      </c>
      <c r="AE9" s="19">
        <v>0</v>
      </c>
      <c r="AF9" s="19">
        <v>0</v>
      </c>
      <c r="AG9" s="19"/>
      <c r="AH9" s="19">
        <v>0</v>
      </c>
      <c r="AI9" s="19">
        <v>0</v>
      </c>
      <c r="AJ9" s="19">
        <v>0</v>
      </c>
      <c r="AK9" s="19">
        <f t="shared" si="0"/>
        <v>0</v>
      </c>
      <c r="AL9" s="19"/>
      <c r="AM9" s="19"/>
      <c r="AP9" s="19"/>
    </row>
    <row r="10" spans="1:42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19">
        <f>TRANSICAO!$U$10*CUSTOS!$R$3</f>
        <v>0</v>
      </c>
      <c r="V10" s="19">
        <f>TRANSICAO!$V$10*CUSTOS!$R$3</f>
        <v>0</v>
      </c>
      <c r="W10" s="19">
        <f>TRANSICAO!$W$10*CUSTOS!$R$3</f>
        <v>0</v>
      </c>
      <c r="X10" s="19">
        <f>TRANSICAO!$X$10*CUSTOS!$R$3</f>
        <v>0</v>
      </c>
      <c r="Y10" s="19">
        <f>TRANSICAO!$Y$10*CUSTOS!$R$3</f>
        <v>19.2669</v>
      </c>
      <c r="Z10" s="19">
        <f>TRANSICAO!$Z$10*CUSTOS!$R$3</f>
        <v>0</v>
      </c>
      <c r="AA10" s="19">
        <f>TRANSICAO!$AA$10*CUSTOS!$R$3</f>
        <v>0</v>
      </c>
      <c r="AB10" s="19">
        <f>TRANSICAO!$AB$10*CUSTOS!$R$3</f>
        <v>0</v>
      </c>
      <c r="AC10" s="19">
        <f>TRANSICAO!$AC$10*CUSTOS!$R$3</f>
        <v>36.933799999999998</v>
      </c>
      <c r="AD10" s="19">
        <f>TRANSICAO!$AD$10*CUSTOS!$R$3</f>
        <v>0</v>
      </c>
      <c r="AE10" s="19">
        <v>0</v>
      </c>
      <c r="AF10" s="19">
        <v>0</v>
      </c>
      <c r="AG10" s="19"/>
      <c r="AH10" s="19">
        <v>0</v>
      </c>
      <c r="AI10" s="19">
        <v>0</v>
      </c>
      <c r="AJ10" s="19">
        <v>0</v>
      </c>
      <c r="AK10" s="19">
        <f t="shared" si="0"/>
        <v>0</v>
      </c>
      <c r="AL10" s="19"/>
      <c r="AM10" s="19"/>
      <c r="AP10" s="19">
        <v>1</v>
      </c>
    </row>
    <row r="11" spans="1:42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19">
        <f>0.84</f>
        <v>0.84</v>
      </c>
      <c r="M11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11" s="19">
        <f ca="1">(+M11+O11+R11+U11+V11+W11+X11+Y11+Z11+AA11+AC11+AH11+AI11+AJ11+AK11)*CUSTOS!$M$5</f>
        <v>3.8332917983644787E-11</v>
      </c>
      <c r="O11" s="19">
        <v>1</v>
      </c>
      <c r="P11" s="19">
        <v>1</v>
      </c>
      <c r="Q11" s="19">
        <f>0.84</f>
        <v>0.84</v>
      </c>
      <c r="R11" s="19">
        <v>1</v>
      </c>
      <c r="S11" s="19">
        <v>1</v>
      </c>
      <c r="T11" s="19"/>
      <c r="U11" s="19">
        <f>TRANSICAO!$U$11*CUSTOS!$R$3</f>
        <v>0</v>
      </c>
      <c r="V11" s="19">
        <f>TRANSICAO!$V$11*CUSTOS!$R$3</f>
        <v>0</v>
      </c>
      <c r="W11" s="19">
        <f>TRANSICAO!$W$11*CUSTOS!$R$3</f>
        <v>0</v>
      </c>
      <c r="X11" s="19">
        <f>TRANSICAO!$X$11*CUSTOS!$R$3</f>
        <v>0</v>
      </c>
      <c r="Y11" s="19">
        <f>TRANSICAO!$Y$11*CUSTOS!$R$3</f>
        <v>1399.8413</v>
      </c>
      <c r="Z11" s="19">
        <f>TRANSICAO!$Z$11*CUSTOS!$R$3</f>
        <v>0</v>
      </c>
      <c r="AA11" s="19">
        <f>TRANSICAO!$AA$11*CUSTOS!$R$3</f>
        <v>0</v>
      </c>
      <c r="AB11" s="19">
        <f>TRANSICAO!$AB$11*CUSTOS!$R$3</f>
        <v>0</v>
      </c>
      <c r="AC11" s="19">
        <f>TRANSICAO!$AC$11*CUSTOS!$R$3</f>
        <v>2416.8761</v>
      </c>
      <c r="AD11" s="19">
        <f>TRANSICAO!$AD$11*CUSTOS!$R$3</f>
        <v>0</v>
      </c>
      <c r="AE11" s="19">
        <v>0</v>
      </c>
      <c r="AF11" s="19">
        <v>0</v>
      </c>
      <c r="AG11" s="19"/>
      <c r="AH11" s="19">
        <v>8.9305000000000003</v>
      </c>
      <c r="AI11" s="19">
        <v>0</v>
      </c>
      <c r="AJ11" s="19">
        <f ca="1">$N$63</f>
        <v>1.8893523912893901</v>
      </c>
      <c r="AK11" s="19">
        <f t="shared" ca="1" si="0"/>
        <v>1.8893523912893901</v>
      </c>
      <c r="AL11" s="19"/>
      <c r="AM11" s="19"/>
      <c r="AP11" s="19">
        <v>1</v>
      </c>
    </row>
    <row r="12" spans="1:42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19">
        <f>0.84</f>
        <v>0.84</v>
      </c>
      <c r="M12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12" s="19">
        <f ca="1">(+M12+O12+R12+U12+V12+W12+X12+Y12+Z12+AA12+AC12+AH12+AI12+AJ12+AK12)*CUSTOS!$M$5</f>
        <v>1.657439836447908E-13</v>
      </c>
      <c r="O12" s="19">
        <v>1</v>
      </c>
      <c r="P12" s="19">
        <v>1</v>
      </c>
      <c r="Q12" s="19">
        <f>0.84</f>
        <v>0.84</v>
      </c>
      <c r="R12" s="19">
        <v>1</v>
      </c>
      <c r="S12" s="19">
        <v>1</v>
      </c>
      <c r="T12" s="19"/>
      <c r="U12" s="19">
        <f>TRANSICAO!$U$12*CUSTOS!$R$3</f>
        <v>0</v>
      </c>
      <c r="V12" s="19">
        <f>TRANSICAO!$V$12*CUSTOS!$R$3</f>
        <v>0</v>
      </c>
      <c r="W12" s="19">
        <f>TRANSICAO!$W$12*CUSTOS!$R$3</f>
        <v>0</v>
      </c>
      <c r="X12" s="19">
        <f>TRANSICAO!$X$12*CUSTOS!$R$3</f>
        <v>0</v>
      </c>
      <c r="Y12" s="19">
        <f>TRANSICAO!$Y$12*CUSTOS!$R$3</f>
        <v>0</v>
      </c>
      <c r="Z12" s="19">
        <f>TRANSICAO!$Z$12*CUSTOS!$R$3</f>
        <v>0</v>
      </c>
      <c r="AA12" s="19">
        <f>TRANSICAO!$AA$12*CUSTOS!$R$3</f>
        <v>0</v>
      </c>
      <c r="AB12" s="19">
        <f>TRANSICAO!$AB$12*CUSTOS!$R$3</f>
        <v>0</v>
      </c>
      <c r="AC12" s="19">
        <f>TRANSICAO!$AC$12*CUSTOS!$R$3</f>
        <v>0</v>
      </c>
      <c r="AD12" s="19">
        <f>TRANSICAO!$AD$12*CUSTOS!$R$3</f>
        <v>0</v>
      </c>
      <c r="AE12" s="19">
        <v>0</v>
      </c>
      <c r="AF12" s="19">
        <v>0</v>
      </c>
      <c r="AG12" s="19"/>
      <c r="AH12" s="19">
        <v>8.9305000000000003</v>
      </c>
      <c r="AI12" s="19">
        <v>0</v>
      </c>
      <c r="AJ12" s="19">
        <f ca="1">$N$63</f>
        <v>1.8893523912893901</v>
      </c>
      <c r="AK12" s="19">
        <f t="shared" ca="1" si="0"/>
        <v>1.8893523912893901</v>
      </c>
      <c r="AL12" s="19"/>
      <c r="AM12" s="19"/>
      <c r="AP12" s="19">
        <v>1</v>
      </c>
    </row>
    <row r="13" spans="1:42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19">
        <v>0</v>
      </c>
      <c r="M13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13" s="19">
        <f ca="1">(+M13+O13+R13+U13+V13+W13+X13+Y13+Z13+AA13+AC13+AH13+AI13+AJ13+AK13)*CUSTOS!$M$5</f>
        <v>3.8322917983644786E-11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/>
      <c r="U13" s="19">
        <f>TRANSICAO!$U$13*CUSTOS!$R$3</f>
        <v>0</v>
      </c>
      <c r="V13" s="19">
        <f>TRANSICAO!$V$13*CUSTOS!$R$3</f>
        <v>0</v>
      </c>
      <c r="W13" s="19">
        <f>TRANSICAO!$W$13*CUSTOS!$R$3</f>
        <v>0</v>
      </c>
      <c r="X13" s="19">
        <f>TRANSICAO!$X$13*CUSTOS!$R$3</f>
        <v>0</v>
      </c>
      <c r="Y13" s="19">
        <f>TRANSICAO!$Y$13*CUSTOS!$R$3</f>
        <v>1399.8413</v>
      </c>
      <c r="Z13" s="19">
        <f>TRANSICAO!$Z$13*CUSTOS!$R$3</f>
        <v>0</v>
      </c>
      <c r="AA13" s="19">
        <f>TRANSICAO!$AA$13*CUSTOS!$R$3</f>
        <v>0</v>
      </c>
      <c r="AB13" s="19">
        <f>TRANSICAO!$AB$13*CUSTOS!$R$3</f>
        <v>0</v>
      </c>
      <c r="AC13" s="19">
        <f>TRANSICAO!$AC$13*CUSTOS!$R$3</f>
        <v>2416.8761</v>
      </c>
      <c r="AD13" s="19">
        <f>TRANSICAO!$AD$13*CUSTOS!$R$3</f>
        <v>0</v>
      </c>
      <c r="AE13" s="19">
        <v>0</v>
      </c>
      <c r="AF13" s="19">
        <v>0</v>
      </c>
      <c r="AG13" s="19"/>
      <c r="AH13" s="19">
        <v>8.9305000000000003</v>
      </c>
      <c r="AI13" s="19">
        <v>0</v>
      </c>
      <c r="AJ13" s="19">
        <f ca="1">$N$63</f>
        <v>1.8893523912893901</v>
      </c>
      <c r="AK13" s="19">
        <f t="shared" ca="1" si="0"/>
        <v>1.8893523912893901</v>
      </c>
      <c r="AL13" s="19"/>
      <c r="AM13" s="19"/>
      <c r="AP13" s="19">
        <v>1</v>
      </c>
    </row>
    <row r="14" spans="1:42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19">
        <v>0</v>
      </c>
      <c r="M14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1.8651935819002992</v>
      </c>
      <c r="N14" s="19">
        <f ca="1">(+M14+O14+R14+U14+V14+W14+X14+Y14+Z14+AA14+AC14+AH14+AI14+AJ14+AK14)*CUSTOS!$M$5</f>
        <v>1.5574398364479079E-13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/>
      <c r="U14" s="19">
        <f>TRANSICAO!$U$14*CUSTOS!$R$3</f>
        <v>0</v>
      </c>
      <c r="V14" s="19">
        <f>TRANSICAO!$V$14*CUSTOS!$R$3</f>
        <v>0</v>
      </c>
      <c r="W14" s="19">
        <f>TRANSICAO!$W$14*CUSTOS!$R$3</f>
        <v>0</v>
      </c>
      <c r="X14" s="19">
        <f>TRANSICAO!$X$14*CUSTOS!$R$3</f>
        <v>0</v>
      </c>
      <c r="Y14" s="19">
        <f>TRANSICAO!$Y$14*CUSTOS!$R$3</f>
        <v>0</v>
      </c>
      <c r="Z14" s="19">
        <f>TRANSICAO!$Z$14*CUSTOS!$R$3</f>
        <v>0</v>
      </c>
      <c r="AA14" s="19">
        <f>TRANSICAO!$AA$14*CUSTOS!$R$3</f>
        <v>0</v>
      </c>
      <c r="AB14" s="19">
        <f>TRANSICAO!$AB$14*CUSTOS!$R$3</f>
        <v>0</v>
      </c>
      <c r="AC14" s="19">
        <f>TRANSICAO!$AC$14*CUSTOS!$R$3</f>
        <v>0</v>
      </c>
      <c r="AD14" s="19">
        <f>TRANSICAO!$AD$14*CUSTOS!$R$3</f>
        <v>0</v>
      </c>
      <c r="AE14" s="19">
        <v>0</v>
      </c>
      <c r="AF14" s="19">
        <v>0</v>
      </c>
      <c r="AG14" s="19"/>
      <c r="AH14" s="19">
        <v>8.9305000000000003</v>
      </c>
      <c r="AI14" s="19">
        <v>0</v>
      </c>
      <c r="AJ14" s="19">
        <f ca="1">$N$63</f>
        <v>1.8893523912893901</v>
      </c>
      <c r="AK14" s="19">
        <f t="shared" ca="1" si="0"/>
        <v>1.8893523912893901</v>
      </c>
      <c r="AL14" s="19"/>
      <c r="AM14" s="19"/>
      <c r="AP14" s="19">
        <v>1</v>
      </c>
    </row>
    <row r="15" spans="1:42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22" t="s">
        <v>78</v>
      </c>
      <c r="F15" s="22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19">
        <v>0</v>
      </c>
      <c r="M15" s="19">
        <v>1.15E-2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19">
        <f>TRANSICAO!$U$15*CUSTOS!$T$4</f>
        <v>0</v>
      </c>
      <c r="V15" s="19">
        <f>TRANSICAO!$V$15*CUSTOS!$T$4</f>
        <v>0</v>
      </c>
      <c r="W15" s="19">
        <f>TRANSICAO!$W$15*CUSTOS!$T$4</f>
        <v>0</v>
      </c>
      <c r="X15" s="19">
        <f>TRANSICAO!$X$15*CUSTOS!$T$4</f>
        <v>0</v>
      </c>
      <c r="Y15" s="19">
        <f>TRANSICAO!$Y$15*CUSTOS!$T$4</f>
        <v>0</v>
      </c>
      <c r="Z15" s="19">
        <f>TRANSICAO!$Z$15*CUSTOS!$T$4</f>
        <v>0</v>
      </c>
      <c r="AA15" s="19">
        <f>TRANSICAO!$AA$15*CUSTOS!$T$4</f>
        <v>0</v>
      </c>
      <c r="AB15" s="19">
        <f>TRANSICAO!$AB$15*CUSTOS!$T$4</f>
        <v>0</v>
      </c>
      <c r="AC15" s="19">
        <f>TRANSICAO!$AC$15*CUSTOS!$T$4</f>
        <v>3.2296999999999998</v>
      </c>
      <c r="AD15" s="19">
        <f>TRANSICAO!$AD$15*CUSTOS!$T$4</f>
        <v>0</v>
      </c>
      <c r="AE15" s="19">
        <v>0</v>
      </c>
      <c r="AF15" s="19">
        <v>0</v>
      </c>
      <c r="AG15" s="19"/>
      <c r="AH15" s="19">
        <v>0</v>
      </c>
      <c r="AI15" s="19">
        <v>0</v>
      </c>
      <c r="AJ15" s="19">
        <v>0</v>
      </c>
      <c r="AK15" s="19">
        <f t="shared" si="0"/>
        <v>0</v>
      </c>
      <c r="AL15" s="19"/>
      <c r="AM15" s="19"/>
      <c r="AP15" s="19"/>
    </row>
    <row r="16" spans="1:42" ht="11.25" customHeight="1" x14ac:dyDescent="0.3">
      <c r="A16" s="125"/>
      <c r="B16" s="125"/>
      <c r="C16" s="125"/>
      <c r="D16" s="125"/>
      <c r="E16" s="22" t="s">
        <v>79</v>
      </c>
      <c r="F16" s="22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19">
        <v>0</v>
      </c>
      <c r="M16" s="19">
        <v>1.15E-2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>
        <f>TRANSICAO!$U$16*CUSTOS!$T$4</f>
        <v>0</v>
      </c>
      <c r="V16" s="19">
        <f>TRANSICAO!$V$16*CUSTOS!$T$4</f>
        <v>0</v>
      </c>
      <c r="W16" s="19">
        <f>TRANSICAO!$W$16*CUSTOS!$T$4</f>
        <v>0</v>
      </c>
      <c r="X16" s="19">
        <f>TRANSICAO!$X$16*CUSTOS!$T$4</f>
        <v>0</v>
      </c>
      <c r="Y16" s="19">
        <f>TRANSICAO!$Y$16*CUSTOS!$T$4</f>
        <v>0</v>
      </c>
      <c r="Z16" s="19">
        <f>TRANSICAO!$Z$16*CUSTOS!$T$4</f>
        <v>0</v>
      </c>
      <c r="AA16" s="19">
        <f>TRANSICAO!$AA$16*CUSTOS!$T$4</f>
        <v>0</v>
      </c>
      <c r="AB16" s="19">
        <f>TRANSICAO!$AB$16*CUSTOS!$T$4</f>
        <v>0</v>
      </c>
      <c r="AC16" s="19">
        <f>TRANSICAO!$AC$16*CUSTOS!$T$4</f>
        <v>10.4091</v>
      </c>
      <c r="AD16" s="19">
        <f>TRANSICAO!$AD$16*CUSTOS!$T$4</f>
        <v>0</v>
      </c>
      <c r="AE16" s="19">
        <v>0</v>
      </c>
      <c r="AF16" s="19">
        <v>0</v>
      </c>
      <c r="AG16" s="19"/>
      <c r="AH16" s="19">
        <v>0</v>
      </c>
      <c r="AI16" s="19">
        <v>0</v>
      </c>
      <c r="AJ16" s="19">
        <v>0</v>
      </c>
      <c r="AK16" s="19">
        <f t="shared" si="0"/>
        <v>0</v>
      </c>
      <c r="AL16" s="19"/>
      <c r="AM16" s="19"/>
      <c r="AP16" s="19"/>
    </row>
    <row r="17" spans="1:42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19">
        <f>1</f>
        <v>1</v>
      </c>
      <c r="M1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2.4939365155900171</v>
      </c>
      <c r="N17" s="19">
        <f ca="1">(+M17+O17+R17+U17+V17+W17+X17+Y17+Z17+AA17+AC17+AH17+AI17+AJ17+AK17)*CUSTOS!$M$5</f>
        <v>2.0941560270021605E-11</v>
      </c>
      <c r="O17" s="19">
        <v>1</v>
      </c>
      <c r="P17" s="19">
        <v>1</v>
      </c>
      <c r="Q17" s="19">
        <f>1</f>
        <v>1</v>
      </c>
      <c r="R17" s="19">
        <v>1</v>
      </c>
      <c r="S17" s="19">
        <v>1</v>
      </c>
      <c r="T17" s="19"/>
      <c r="U17" s="19">
        <f>TRANSICAO!$U$17*CUSTOS!$T$3</f>
        <v>0</v>
      </c>
      <c r="V17" s="19">
        <f>TRANSICAO!$V$17*CUSTOS!$T$3</f>
        <v>0</v>
      </c>
      <c r="W17" s="19">
        <f>TRANSICAO!$W$17*CUSTOS!$T$3</f>
        <v>0</v>
      </c>
      <c r="X17" s="19">
        <f>TRANSICAO!$X$17*CUSTOS!$T$3</f>
        <v>0</v>
      </c>
      <c r="Y17" s="19">
        <f>TRANSICAO!$Y$17*CUSTOS!$T$3</f>
        <v>736.55060000000003</v>
      </c>
      <c r="Z17" s="19">
        <f>TRANSICAO!$Z$17*CUSTOS!$T$3</f>
        <v>0</v>
      </c>
      <c r="AA17" s="19">
        <f>TRANSICAO!$AA$17*CUSTOS!$T$3</f>
        <v>0</v>
      </c>
      <c r="AB17" s="19">
        <f>TRANSICAO!$AB$17*CUSTOS!$T$3</f>
        <v>0</v>
      </c>
      <c r="AC17" s="19">
        <f>TRANSICAO!$AC$17*CUSTOS!$T$3</f>
        <v>1328.8870999999999</v>
      </c>
      <c r="AD17" s="19">
        <f>TRANSICAO!$AD$17*CUSTOS!$T$3</f>
        <v>0</v>
      </c>
      <c r="AE17" s="19">
        <v>0</v>
      </c>
      <c r="AF17" s="19">
        <v>0</v>
      </c>
      <c r="AG17" s="19"/>
      <c r="AH17" s="19">
        <v>19.317299999999999</v>
      </c>
      <c r="AI17" s="19">
        <v>0</v>
      </c>
      <c r="AJ17" s="19">
        <f ca="1">$N$64</f>
        <v>2.4535452432851668</v>
      </c>
      <c r="AK17" s="19">
        <f t="shared" ca="1" si="0"/>
        <v>2.4535452432851668</v>
      </c>
      <c r="AL17" s="19"/>
      <c r="AM17" s="19"/>
      <c r="AP17" s="19">
        <v>1</v>
      </c>
    </row>
    <row r="18" spans="1:42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19">
        <f>1</f>
        <v>1</v>
      </c>
      <c r="M1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2.4939365155900171</v>
      </c>
      <c r="N18" s="19">
        <f ca="1">(+M18+O18+R18+U18+V18+W18+X18+Y18+Z18+AA18+AC18+AH18+AI18+AJ18+AK18)*CUSTOS!$M$5</f>
        <v>1.2679798270021601E-11</v>
      </c>
      <c r="O18" s="19">
        <v>1</v>
      </c>
      <c r="P18" s="19">
        <v>1</v>
      </c>
      <c r="Q18" s="19">
        <f>1</f>
        <v>1</v>
      </c>
      <c r="R18" s="19">
        <v>1</v>
      </c>
      <c r="S18" s="19">
        <v>1</v>
      </c>
      <c r="T18" s="19"/>
      <c r="U18" s="19">
        <f>TRANSICAO!$U$18*CUSTOS!$T$3</f>
        <v>0</v>
      </c>
      <c r="V18" s="19">
        <f>TRANSICAO!$V$18*CUSTOS!$T$3</f>
        <v>0</v>
      </c>
      <c r="W18" s="19">
        <f>TRANSICAO!$W$18*CUSTOS!$T$3</f>
        <v>0</v>
      </c>
      <c r="X18" s="19">
        <f>TRANSICAO!$X$18*CUSTOS!$T$3</f>
        <v>0</v>
      </c>
      <c r="Y18" s="19">
        <f>TRANSICAO!$Y$18*CUSTOS!$T$3</f>
        <v>441.92919999999998</v>
      </c>
      <c r="Z18" s="19">
        <f>TRANSICAO!$Z$18*CUSTOS!$T$3</f>
        <v>0</v>
      </c>
      <c r="AA18" s="19">
        <f>TRANSICAO!$AA$18*CUSTOS!$T$3</f>
        <v>0</v>
      </c>
      <c r="AB18" s="19">
        <f>TRANSICAO!$AB$18*CUSTOS!$T$3</f>
        <v>0</v>
      </c>
      <c r="AC18" s="19">
        <f>TRANSICAO!$AC$18*CUSTOS!$T$3</f>
        <v>797.33230000000003</v>
      </c>
      <c r="AD18" s="19">
        <f>TRANSICAO!$AD$18*CUSTOS!$T$3</f>
        <v>0</v>
      </c>
      <c r="AE18" s="19">
        <v>0</v>
      </c>
      <c r="AF18" s="19">
        <v>0</v>
      </c>
      <c r="AG18" s="19"/>
      <c r="AH18" s="19">
        <v>19.317299999999999</v>
      </c>
      <c r="AI18" s="19">
        <v>0</v>
      </c>
      <c r="AJ18" s="19">
        <f ca="1">$N$64</f>
        <v>2.4535452432851668</v>
      </c>
      <c r="AK18" s="19">
        <f t="shared" ca="1" si="0"/>
        <v>2.4535452432851668</v>
      </c>
      <c r="AL18" s="19"/>
      <c r="AM18" s="19"/>
      <c r="AP18" s="19">
        <v>1</v>
      </c>
    </row>
    <row r="19" spans="1:42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19">
        <f>1</f>
        <v>1</v>
      </c>
      <c r="M1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2.4939365155900171</v>
      </c>
      <c r="N19" s="19">
        <f ca="1">(+M19+O19+R19+U19+V19+W19+X19+Y19+Z19+AA19+AC19+AH19+AI19+AJ19+AK19)*CUSTOS!$M$5</f>
        <v>4.4180672700216038E-12</v>
      </c>
      <c r="O19" s="19">
        <v>1</v>
      </c>
      <c r="P19" s="19">
        <v>1</v>
      </c>
      <c r="Q19" s="19">
        <f>1</f>
        <v>1</v>
      </c>
      <c r="R19" s="19">
        <v>1</v>
      </c>
      <c r="S19" s="19">
        <v>1</v>
      </c>
      <c r="T19" s="19"/>
      <c r="U19" s="19">
        <f>TRANSICAO!$U$19*CUSTOS!$T$3</f>
        <v>0</v>
      </c>
      <c r="V19" s="19">
        <f>TRANSICAO!$V$19*CUSTOS!$T$3</f>
        <v>0</v>
      </c>
      <c r="W19" s="19">
        <f>TRANSICAO!$W$19*CUSTOS!$T$3</f>
        <v>0</v>
      </c>
      <c r="X19" s="19">
        <f>TRANSICAO!$X$19*CUSTOS!$T$3</f>
        <v>0</v>
      </c>
      <c r="Y19" s="19">
        <f>TRANSICAO!$Y$19*CUSTOS!$T$3</f>
        <v>147.3109</v>
      </c>
      <c r="Z19" s="19">
        <f>TRANSICAO!$Z$19*CUSTOS!$T$3</f>
        <v>0</v>
      </c>
      <c r="AA19" s="19">
        <f>TRANSICAO!$AA$19*CUSTOS!$T$3</f>
        <v>0</v>
      </c>
      <c r="AB19" s="19">
        <f>TRANSICAO!$AB$19*CUSTOS!$T$3</f>
        <v>0</v>
      </c>
      <c r="AC19" s="19">
        <f>TRANSICAO!$AC$19*CUSTOS!$T$3</f>
        <v>265.77749999999997</v>
      </c>
      <c r="AD19" s="19">
        <f>TRANSICAO!$AD$19*CUSTOS!$T$3</f>
        <v>0</v>
      </c>
      <c r="AE19" s="19">
        <v>0</v>
      </c>
      <c r="AF19" s="19">
        <v>0</v>
      </c>
      <c r="AG19" s="19"/>
      <c r="AH19" s="19">
        <v>19.317299999999999</v>
      </c>
      <c r="AI19" s="19">
        <v>0</v>
      </c>
      <c r="AJ19" s="19">
        <f ca="1">$N$64</f>
        <v>2.4535452432851668</v>
      </c>
      <c r="AK19" s="19">
        <f t="shared" ca="1" si="0"/>
        <v>2.4535452432851668</v>
      </c>
      <c r="AL19" s="19"/>
      <c r="AM19" s="19"/>
      <c r="AP19" s="19">
        <v>1</v>
      </c>
    </row>
    <row r="20" spans="1:42" ht="11.25" customHeight="1" x14ac:dyDescent="0.3">
      <c r="A20" s="125"/>
      <c r="B20" s="125" t="s">
        <v>23</v>
      </c>
      <c r="C20" s="125" t="s">
        <v>24</v>
      </c>
      <c r="D20" s="22" t="s">
        <v>24</v>
      </c>
      <c r="E20" s="22" t="s">
        <v>25</v>
      </c>
      <c r="F20" s="22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19">
        <f>1</f>
        <v>1</v>
      </c>
      <c r="M2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2.4939365155900171</v>
      </c>
      <c r="N20" s="19">
        <f ca="1">(+M20+O20+R20+U20+V20+W20+X20+Y20+Z20+AA20+AC20+AH20+AI20+AJ20+AK20)*CUSTOS!$M$5</f>
        <v>7.4093882700216038E-12</v>
      </c>
      <c r="O20" s="19">
        <v>1</v>
      </c>
      <c r="P20" s="19">
        <v>1</v>
      </c>
      <c r="Q20" s="19">
        <f>1</f>
        <v>1</v>
      </c>
      <c r="R20" s="19">
        <v>1</v>
      </c>
      <c r="S20" s="19">
        <v>1</v>
      </c>
      <c r="T20" s="19"/>
      <c r="U20" s="19">
        <f>TRANSICAO!$U$20*CUSTOS!$T$3</f>
        <v>0</v>
      </c>
      <c r="V20" s="19">
        <f>TRANSICAO!$V$20*CUSTOS!$T$3</f>
        <v>0</v>
      </c>
      <c r="W20" s="19">
        <f>TRANSICAO!$W$20*CUSTOS!$T$3</f>
        <v>0</v>
      </c>
      <c r="X20" s="19">
        <f>TRANSICAO!$X$20*CUSTOS!$T$3</f>
        <v>0</v>
      </c>
      <c r="Y20" s="19">
        <f>TRANSICAO!$Y$20*CUSTOS!$T$3</f>
        <v>253.9836</v>
      </c>
      <c r="Z20" s="19">
        <f>TRANSICAO!$Z$20*CUSTOS!$T$3</f>
        <v>0</v>
      </c>
      <c r="AA20" s="19">
        <f>TRANSICAO!$AA$20*CUSTOS!$T$3</f>
        <v>0</v>
      </c>
      <c r="AB20" s="19">
        <f>TRANSICAO!$AB$20*CUSTOS!$T$3</f>
        <v>0</v>
      </c>
      <c r="AC20" s="19">
        <f>TRANSICAO!$AC$20*CUSTOS!$T$3</f>
        <v>458.23689999999999</v>
      </c>
      <c r="AD20" s="19">
        <f>TRANSICAO!$AD$20*CUSTOS!$T$3</f>
        <v>0</v>
      </c>
      <c r="AE20" s="19">
        <v>0</v>
      </c>
      <c r="AF20" s="19">
        <v>0</v>
      </c>
      <c r="AG20" s="19"/>
      <c r="AH20" s="19">
        <v>19.317299999999999</v>
      </c>
      <c r="AI20" s="19">
        <v>0</v>
      </c>
      <c r="AJ20" s="19">
        <f ca="1">$N$64</f>
        <v>2.4535452432851668</v>
      </c>
      <c r="AK20" s="19">
        <f t="shared" ca="1" si="0"/>
        <v>2.4535452432851668</v>
      </c>
      <c r="AL20" s="19"/>
      <c r="AM20" s="19"/>
      <c r="AP20" s="19">
        <v>1</v>
      </c>
    </row>
    <row r="21" spans="1:42" ht="11.25" customHeight="1" x14ac:dyDescent="0.3">
      <c r="A21" s="125"/>
      <c r="B21" s="125"/>
      <c r="C21" s="125"/>
      <c r="D21" s="22" t="s">
        <v>29</v>
      </c>
      <c r="E21" s="22" t="s">
        <v>25</v>
      </c>
      <c r="F21" s="22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19">
        <v>0</v>
      </c>
      <c r="M2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2.4939365155900171</v>
      </c>
      <c r="N21" s="19">
        <f ca="1">(+M21+O21+R21+U21+V21+W21+X21+Y21+Z21+AA21+AC21+AH21+AI21+AJ21+AK21)*CUSTOS!$M$5</f>
        <v>7.3993882700216036E-12</v>
      </c>
      <c r="O21" s="19">
        <f>1 - CUSTOS!$M$24</f>
        <v>1</v>
      </c>
      <c r="P21" s="19">
        <v>0</v>
      </c>
      <c r="Q21" s="19">
        <v>0</v>
      </c>
      <c r="R21" s="19">
        <v>0</v>
      </c>
      <c r="S21" s="19">
        <f>1 - CUSTOS!$M$24</f>
        <v>1</v>
      </c>
      <c r="T21" s="19"/>
      <c r="U21" s="19">
        <f>TRANSICAO!$U$21*CUSTOS!$T$3</f>
        <v>0</v>
      </c>
      <c r="V21" s="19">
        <f>TRANSICAO!$V$21*CUSTOS!$T$3</f>
        <v>0</v>
      </c>
      <c r="W21" s="19">
        <f>TRANSICAO!$W$21*CUSTOS!$T$3</f>
        <v>0</v>
      </c>
      <c r="X21" s="19">
        <f>TRANSICAO!$X$21*CUSTOS!$T$3</f>
        <v>0</v>
      </c>
      <c r="Y21" s="19">
        <f>TRANSICAO!$Y$21*CUSTOS!$T$3</f>
        <v>253.9836</v>
      </c>
      <c r="Z21" s="19">
        <f>TRANSICAO!$Z$21*CUSTOS!$T$3</f>
        <v>0</v>
      </c>
      <c r="AA21" s="19">
        <f>TRANSICAO!$AA$21*CUSTOS!$T$3</f>
        <v>0</v>
      </c>
      <c r="AB21" s="19">
        <f>TRANSICAO!$AB$21*CUSTOS!$T$3</f>
        <v>0</v>
      </c>
      <c r="AC21" s="19">
        <f>TRANSICAO!$AC$21*CUSTOS!$T$3</f>
        <v>458.23689999999999</v>
      </c>
      <c r="AD21" s="19">
        <f>TRANSICAO!$AD$21*CUSTOS!$T$3</f>
        <v>0</v>
      </c>
      <c r="AE21" s="19">
        <v>0</v>
      </c>
      <c r="AF21" s="19">
        <v>0</v>
      </c>
      <c r="AG21" s="19"/>
      <c r="AH21" s="19">
        <f>(1 - CUSTOS!$M$24)*19.3173</f>
        <v>19.317299999999999</v>
      </c>
      <c r="AI21" s="19">
        <v>0</v>
      </c>
      <c r="AJ21" s="19">
        <f ca="1">$N$64*(1-CUSTOS!$M$24)</f>
        <v>2.4535452432851668</v>
      </c>
      <c r="AK21" s="19">
        <f t="shared" ca="1" si="0"/>
        <v>2.4535452432851668</v>
      </c>
      <c r="AL21" s="19"/>
      <c r="AM21" s="19"/>
      <c r="AP21" s="19">
        <f>IF((1 - CUSTOS!$M$24)&lt;&gt;0,1/(1 - CUSTOS!$M$24),1)</f>
        <v>1</v>
      </c>
    </row>
    <row r="22" spans="1:42" ht="11.25" customHeight="1" x14ac:dyDescent="0.3">
      <c r="A22" s="125"/>
      <c r="B22" s="125"/>
      <c r="C22" s="125"/>
      <c r="D22" s="22" t="s">
        <v>30</v>
      </c>
      <c r="E22" s="22" t="s">
        <v>25</v>
      </c>
      <c r="F22" s="22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19">
        <v>0</v>
      </c>
      <c r="M2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2.4939365155900171</v>
      </c>
      <c r="N22" s="19">
        <f ca="1">(+M22+O22+R22+U22+V22+W22+X22+Y22+Z22+AA22+AC22+AH22+AI22+AJ22+AK22)*CUSTOS!$M$5</f>
        <v>7.3993882700216036E-12</v>
      </c>
      <c r="O22" s="19">
        <f>1 - CUSTOS!$M$25</f>
        <v>1</v>
      </c>
      <c r="P22" s="19">
        <v>0</v>
      </c>
      <c r="Q22" s="19">
        <v>0</v>
      </c>
      <c r="R22" s="19">
        <v>0</v>
      </c>
      <c r="S22" s="19">
        <f>1 - CUSTOS!$M$25</f>
        <v>1</v>
      </c>
      <c r="T22" s="19"/>
      <c r="U22" s="19">
        <f>TRANSICAO!$U$22*CUSTOS!$T$3</f>
        <v>0</v>
      </c>
      <c r="V22" s="19">
        <f>TRANSICAO!$V$22*CUSTOS!$T$3</f>
        <v>0</v>
      </c>
      <c r="W22" s="19">
        <f>TRANSICAO!$W$22*CUSTOS!$T$3</f>
        <v>0</v>
      </c>
      <c r="X22" s="19">
        <f>TRANSICAO!$X$22*CUSTOS!$T$3</f>
        <v>0</v>
      </c>
      <c r="Y22" s="19">
        <f>TRANSICAO!$Y$22*CUSTOS!$T$3</f>
        <v>253.9836</v>
      </c>
      <c r="Z22" s="19">
        <f>TRANSICAO!$Z$22*CUSTOS!$T$3</f>
        <v>0</v>
      </c>
      <c r="AA22" s="19">
        <f>TRANSICAO!$AA$22*CUSTOS!$T$3</f>
        <v>0</v>
      </c>
      <c r="AB22" s="19">
        <f>TRANSICAO!$AB$22*CUSTOS!$T$3</f>
        <v>0</v>
      </c>
      <c r="AC22" s="19">
        <f>TRANSICAO!$AC$22*CUSTOS!$T$3</f>
        <v>458.23689999999999</v>
      </c>
      <c r="AD22" s="19">
        <f>TRANSICAO!$AD$22*CUSTOS!$T$3</f>
        <v>0</v>
      </c>
      <c r="AE22" s="19">
        <v>0</v>
      </c>
      <c r="AF22" s="19">
        <v>0</v>
      </c>
      <c r="AG22" s="19"/>
      <c r="AH22" s="19">
        <f>(1 - CUSTOS!$M$25)*19.3173</f>
        <v>19.317299999999999</v>
      </c>
      <c r="AI22" s="19">
        <v>0</v>
      </c>
      <c r="AJ22" s="19">
        <f ca="1">$N$64*(1-CUSTOS!$M$25)</f>
        <v>2.4535452432851668</v>
      </c>
      <c r="AK22" s="19">
        <f t="shared" ca="1" si="0"/>
        <v>2.4535452432851668</v>
      </c>
      <c r="AL22" s="19"/>
      <c r="AM22" s="19"/>
      <c r="AP22" s="19">
        <f>IF((1 - CUSTOS!$M$25)&lt;&gt;0,1/(1 - CUSTOS!$M$25),1)</f>
        <v>1</v>
      </c>
    </row>
    <row r="23" spans="1:42" ht="11.25" customHeight="1" x14ac:dyDescent="0.3">
      <c r="A23" s="125"/>
      <c r="B23" s="125"/>
      <c r="C23" s="125"/>
      <c r="D23" s="22" t="s">
        <v>31</v>
      </c>
      <c r="E23" s="22" t="s">
        <v>25</v>
      </c>
      <c r="F23" s="22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19">
        <v>0</v>
      </c>
      <c r="M2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2.4939365155900171</v>
      </c>
      <c r="N23" s="19">
        <f ca="1">(+M23+O23+R23+U23+V23+W23+X23+Y23+Z23+AA23+AC23+AH23+AI23+AJ23+AK23)*CUSTOS!$M$5</f>
        <v>7.3993882700216036E-12</v>
      </c>
      <c r="O23" s="19">
        <f>1 - CUSTOS!$M$26</f>
        <v>1</v>
      </c>
      <c r="P23" s="19">
        <v>0</v>
      </c>
      <c r="Q23" s="19">
        <v>0</v>
      </c>
      <c r="R23" s="19">
        <v>0</v>
      </c>
      <c r="S23" s="19">
        <f>1 - CUSTOS!$M$26</f>
        <v>1</v>
      </c>
      <c r="T23" s="19"/>
      <c r="U23" s="19">
        <f>TRANSICAO!$U$23*CUSTOS!$T$3</f>
        <v>0</v>
      </c>
      <c r="V23" s="19">
        <f>TRANSICAO!$V$23*CUSTOS!$T$3</f>
        <v>0</v>
      </c>
      <c r="W23" s="19">
        <f>TRANSICAO!$W$23*CUSTOS!$T$3</f>
        <v>0</v>
      </c>
      <c r="X23" s="19">
        <f>TRANSICAO!$X$23*CUSTOS!$T$3</f>
        <v>0</v>
      </c>
      <c r="Y23" s="19">
        <f>TRANSICAO!$Y$23*CUSTOS!$T$3</f>
        <v>253.9836</v>
      </c>
      <c r="Z23" s="19">
        <f>TRANSICAO!$Z$23*CUSTOS!$T$3</f>
        <v>0</v>
      </c>
      <c r="AA23" s="19">
        <f>TRANSICAO!$AA$23*CUSTOS!$T$3</f>
        <v>0</v>
      </c>
      <c r="AB23" s="19">
        <f>TRANSICAO!$AB$23*CUSTOS!$T$3</f>
        <v>0</v>
      </c>
      <c r="AC23" s="19">
        <f>TRANSICAO!$AC$23*CUSTOS!$T$3</f>
        <v>458.23689999999999</v>
      </c>
      <c r="AD23" s="19">
        <f>TRANSICAO!$AD$23*CUSTOS!$T$3</f>
        <v>0</v>
      </c>
      <c r="AE23" s="19">
        <v>0</v>
      </c>
      <c r="AF23" s="19">
        <v>0</v>
      </c>
      <c r="AG23" s="19"/>
      <c r="AH23" s="19">
        <f>(1 - CUSTOS!$M$26)*19.3173</f>
        <v>19.317299999999999</v>
      </c>
      <c r="AI23" s="19">
        <v>0</v>
      </c>
      <c r="AJ23" s="19">
        <f ca="1">$N$64*(1-CUSTOS!$M$26)</f>
        <v>2.4535452432851668</v>
      </c>
      <c r="AK23" s="19">
        <f t="shared" ca="1" si="0"/>
        <v>2.4535452432851668</v>
      </c>
      <c r="AL23" s="19"/>
      <c r="AM23" s="19"/>
      <c r="AP23" s="19">
        <f>IF((1 - CUSTOS!$M$26)&lt;&gt;0,1/(1 - CUSTOS!$M$26),1)</f>
        <v>1</v>
      </c>
    </row>
    <row r="24" spans="1:42" ht="11.25" customHeight="1" x14ac:dyDescent="0.3">
      <c r="A24" s="125"/>
      <c r="B24" s="125"/>
      <c r="C24" s="125"/>
      <c r="D24" s="22" t="s">
        <v>32</v>
      </c>
      <c r="E24" s="22" t="s">
        <v>25</v>
      </c>
      <c r="F24" s="22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19">
        <v>0</v>
      </c>
      <c r="M2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2.4939365155900171</v>
      </c>
      <c r="N24" s="19">
        <f ca="1">(+M24+O24+R24+U24+V24+W24+X24+Y24+Z24+AA24+AC24+AH24+AI24+AJ24+AK24)*CUSTOS!$M$5</f>
        <v>7.3993882700216036E-12</v>
      </c>
      <c r="O24" s="19">
        <f>1 - CUSTOS!$M$27</f>
        <v>1</v>
      </c>
      <c r="P24" s="19">
        <v>0</v>
      </c>
      <c r="Q24" s="19">
        <v>0</v>
      </c>
      <c r="R24" s="19">
        <v>0</v>
      </c>
      <c r="S24" s="19">
        <f>1 - CUSTOS!$M$27</f>
        <v>1</v>
      </c>
      <c r="T24" s="19"/>
      <c r="U24" s="19">
        <f>TRANSICAO!$U$24*CUSTOS!$T$3</f>
        <v>0</v>
      </c>
      <c r="V24" s="19">
        <f>TRANSICAO!$V$24*CUSTOS!$T$3</f>
        <v>0</v>
      </c>
      <c r="W24" s="19">
        <f>TRANSICAO!$W$24*CUSTOS!$T$3</f>
        <v>0</v>
      </c>
      <c r="X24" s="19">
        <f>TRANSICAO!$X$24*CUSTOS!$T$3</f>
        <v>0</v>
      </c>
      <c r="Y24" s="19">
        <f>TRANSICAO!$Y$24*CUSTOS!$T$3</f>
        <v>253.9836</v>
      </c>
      <c r="Z24" s="19">
        <f>TRANSICAO!$Z$24*CUSTOS!$T$3</f>
        <v>0</v>
      </c>
      <c r="AA24" s="19">
        <f>TRANSICAO!$AA$24*CUSTOS!$T$3</f>
        <v>0</v>
      </c>
      <c r="AB24" s="19">
        <f>TRANSICAO!$AB$24*CUSTOS!$T$3</f>
        <v>0</v>
      </c>
      <c r="AC24" s="19">
        <f>TRANSICAO!$AC$24*CUSTOS!$T$3</f>
        <v>458.23689999999999</v>
      </c>
      <c r="AD24" s="19">
        <f>TRANSICAO!$AD$24*CUSTOS!$T$3</f>
        <v>0</v>
      </c>
      <c r="AE24" s="19">
        <v>0</v>
      </c>
      <c r="AF24" s="19">
        <v>0</v>
      </c>
      <c r="AG24" s="19"/>
      <c r="AH24" s="19">
        <f>(1 - CUSTOS!$M$27)*19.3173</f>
        <v>19.317299999999999</v>
      </c>
      <c r="AI24" s="19">
        <v>0</v>
      </c>
      <c r="AJ24" s="19">
        <f ca="1">$N$64*(1-CUSTOS!$M$27)</f>
        <v>2.4535452432851668</v>
      </c>
      <c r="AK24" s="19">
        <f t="shared" ca="1" si="0"/>
        <v>2.4535452432851668</v>
      </c>
      <c r="AL24" s="19"/>
      <c r="AM24" s="19"/>
      <c r="AP24" s="19">
        <f>IF((1 - CUSTOS!$M$27)&lt;&gt;0,1/(1 - CUSTOS!$M$27),1)</f>
        <v>1</v>
      </c>
    </row>
    <row r="25" spans="1:42" ht="11.25" customHeight="1" x14ac:dyDescent="0.3">
      <c r="A25" s="125"/>
      <c r="B25" s="125" t="s">
        <v>84</v>
      </c>
      <c r="C25" s="125" t="s">
        <v>24</v>
      </c>
      <c r="D25" s="22" t="s">
        <v>24</v>
      </c>
      <c r="E25" s="22" t="s">
        <v>25</v>
      </c>
      <c r="F25" s="22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19">
        <f>1</f>
        <v>1</v>
      </c>
      <c r="M2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2.4939365155900171</v>
      </c>
      <c r="N25" s="19">
        <f ca="1">(+M25+O25+R25+U25+V25+W25+X25+Y25+Z25+AA25+AC25+AH25+AI25+AJ25+AK25)*CUSTOS!$M$5</f>
        <v>7.4093882700216038E-12</v>
      </c>
      <c r="O25" s="19">
        <v>1</v>
      </c>
      <c r="P25" s="19">
        <v>1</v>
      </c>
      <c r="Q25" s="19">
        <f>1</f>
        <v>1</v>
      </c>
      <c r="R25" s="19">
        <v>1</v>
      </c>
      <c r="S25" s="19">
        <v>1</v>
      </c>
      <c r="T25" s="19"/>
      <c r="U25" s="19">
        <f>TRANSICAO!$U$25*CUSTOS!$T$3</f>
        <v>0</v>
      </c>
      <c r="V25" s="19">
        <f>TRANSICAO!$V$25*CUSTOS!$T$3</f>
        <v>0</v>
      </c>
      <c r="W25" s="19">
        <f>TRANSICAO!$W$25*CUSTOS!$T$3</f>
        <v>0</v>
      </c>
      <c r="X25" s="19">
        <f>TRANSICAO!$X$25*CUSTOS!$T$3</f>
        <v>0</v>
      </c>
      <c r="Y25" s="19">
        <f>TRANSICAO!$Y$25*CUSTOS!$T$3</f>
        <v>253.9836</v>
      </c>
      <c r="Z25" s="19">
        <f>TRANSICAO!$Z$25*CUSTOS!$T$3</f>
        <v>0</v>
      </c>
      <c r="AA25" s="19">
        <f>TRANSICAO!$AA$25*CUSTOS!$T$3</f>
        <v>0</v>
      </c>
      <c r="AB25" s="19">
        <f>TRANSICAO!$AB$25*CUSTOS!$T$3</f>
        <v>0</v>
      </c>
      <c r="AC25" s="19">
        <f>TRANSICAO!$AC$25*CUSTOS!$T$3</f>
        <v>458.23689999999999</v>
      </c>
      <c r="AD25" s="19">
        <f>TRANSICAO!$AD$25*CUSTOS!$T$3</f>
        <v>0</v>
      </c>
      <c r="AE25" s="19">
        <v>0</v>
      </c>
      <c r="AF25" s="19">
        <v>0</v>
      </c>
      <c r="AG25" s="19"/>
      <c r="AH25" s="19">
        <v>19.317299999999999</v>
      </c>
      <c r="AI25" s="19">
        <v>0</v>
      </c>
      <c r="AJ25" s="19">
        <f ca="1">$N$64</f>
        <v>2.4535452432851668</v>
      </c>
      <c r="AK25" s="19">
        <f t="shared" ca="1" si="0"/>
        <v>2.4535452432851668</v>
      </c>
      <c r="AL25" s="19"/>
      <c r="AM25" s="19"/>
      <c r="AP25" s="19">
        <v>1</v>
      </c>
    </row>
    <row r="26" spans="1:42" ht="11.25" customHeight="1" x14ac:dyDescent="0.3">
      <c r="A26" s="125"/>
      <c r="B26" s="125"/>
      <c r="C26" s="125"/>
      <c r="D26" s="22" t="s">
        <v>29</v>
      </c>
      <c r="E26" s="22" t="s">
        <v>25</v>
      </c>
      <c r="F26" s="22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19">
        <v>0</v>
      </c>
      <c r="M2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2.4939365155900171</v>
      </c>
      <c r="N26" s="19">
        <f ca="1">(+M26+O26+R26+U26+V26+W26+X26+Y26+Z26+AA26+AC26+AH26+AI26+AJ26+AK26)*CUSTOS!$M$5</f>
        <v>7.3993882700216036E-12</v>
      </c>
      <c r="O26" s="19">
        <f>1 - CUSTOS!$M$24</f>
        <v>1</v>
      </c>
      <c r="P26" s="19">
        <v>0</v>
      </c>
      <c r="Q26" s="19">
        <v>0</v>
      </c>
      <c r="R26" s="19">
        <v>0</v>
      </c>
      <c r="S26" s="19">
        <f>1 - CUSTOS!$M$24</f>
        <v>1</v>
      </c>
      <c r="T26" s="19"/>
      <c r="U26" s="19">
        <f>TRANSICAO!$U$26*CUSTOS!$T$3</f>
        <v>0</v>
      </c>
      <c r="V26" s="19">
        <f>TRANSICAO!$V$26*CUSTOS!$T$3</f>
        <v>0</v>
      </c>
      <c r="W26" s="19">
        <f>TRANSICAO!$W$26*CUSTOS!$T$3</f>
        <v>0</v>
      </c>
      <c r="X26" s="19">
        <f>TRANSICAO!$X$26*CUSTOS!$T$3</f>
        <v>0</v>
      </c>
      <c r="Y26" s="19">
        <f>TRANSICAO!$Y$26*CUSTOS!$T$3</f>
        <v>253.9836</v>
      </c>
      <c r="Z26" s="19">
        <f>TRANSICAO!$Z$26*CUSTOS!$T$3</f>
        <v>0</v>
      </c>
      <c r="AA26" s="19">
        <f>TRANSICAO!$AA$26*CUSTOS!$T$3</f>
        <v>0</v>
      </c>
      <c r="AB26" s="19">
        <f>TRANSICAO!$AB$26*CUSTOS!$T$3</f>
        <v>0</v>
      </c>
      <c r="AC26" s="19">
        <f>TRANSICAO!$AC$26*CUSTOS!$T$3</f>
        <v>458.23689999999999</v>
      </c>
      <c r="AD26" s="19">
        <f>TRANSICAO!$AD$26*CUSTOS!$T$3</f>
        <v>0</v>
      </c>
      <c r="AE26" s="19">
        <v>0</v>
      </c>
      <c r="AF26" s="19">
        <v>0</v>
      </c>
      <c r="AG26" s="19"/>
      <c r="AH26" s="19">
        <f>(1 - CUSTOS!$M$24)*19.3173</f>
        <v>19.317299999999999</v>
      </c>
      <c r="AI26" s="19">
        <v>0</v>
      </c>
      <c r="AJ26" s="19">
        <f ca="1">$N$64*(1-CUSTOS!$M$24)</f>
        <v>2.4535452432851668</v>
      </c>
      <c r="AK26" s="19">
        <f t="shared" ca="1" si="0"/>
        <v>2.4535452432851668</v>
      </c>
      <c r="AL26" s="19"/>
      <c r="AM26" s="19"/>
      <c r="AP26" s="19">
        <f>IF((1 - CUSTOS!$M$24)&lt;&gt;0,1/(1 - CUSTOS!$M$24),1)</f>
        <v>1</v>
      </c>
    </row>
    <row r="27" spans="1:42" ht="11.25" customHeight="1" x14ac:dyDescent="0.3">
      <c r="A27" s="125"/>
      <c r="B27" s="125"/>
      <c r="C27" s="125"/>
      <c r="D27" s="22" t="s">
        <v>30</v>
      </c>
      <c r="E27" s="22" t="s">
        <v>25</v>
      </c>
      <c r="F27" s="22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19">
        <v>0</v>
      </c>
      <c r="M2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2.4939365155900171</v>
      </c>
      <c r="N27" s="19">
        <f ca="1">(+M27+O27+R27+U27+V27+W27+X27+Y27+Z27+AA27+AC27+AH27+AI27+AJ27+AK27)*CUSTOS!$M$5</f>
        <v>7.3993882700216036E-12</v>
      </c>
      <c r="O27" s="19">
        <f>1 - CUSTOS!$M$25</f>
        <v>1</v>
      </c>
      <c r="P27" s="19">
        <v>0</v>
      </c>
      <c r="Q27" s="19">
        <v>0</v>
      </c>
      <c r="R27" s="19">
        <v>0</v>
      </c>
      <c r="S27" s="19">
        <f>1 - CUSTOS!$M$25</f>
        <v>1</v>
      </c>
      <c r="T27" s="19"/>
      <c r="U27" s="19">
        <f>TRANSICAO!$U$27*CUSTOS!$T$3</f>
        <v>0</v>
      </c>
      <c r="V27" s="19">
        <f>TRANSICAO!$V$27*CUSTOS!$T$3</f>
        <v>0</v>
      </c>
      <c r="W27" s="19">
        <f>TRANSICAO!$W$27*CUSTOS!$T$3</f>
        <v>0</v>
      </c>
      <c r="X27" s="19">
        <f>TRANSICAO!$X$27*CUSTOS!$T$3</f>
        <v>0</v>
      </c>
      <c r="Y27" s="19">
        <f>TRANSICAO!$Y$27*CUSTOS!$T$3</f>
        <v>253.9836</v>
      </c>
      <c r="Z27" s="19">
        <f>TRANSICAO!$Z$27*CUSTOS!$T$3</f>
        <v>0</v>
      </c>
      <c r="AA27" s="19">
        <f>TRANSICAO!$AA$27*CUSTOS!$T$3</f>
        <v>0</v>
      </c>
      <c r="AB27" s="19">
        <f>TRANSICAO!$AB$27*CUSTOS!$T$3</f>
        <v>0</v>
      </c>
      <c r="AC27" s="19">
        <f>TRANSICAO!$AC$27*CUSTOS!$T$3</f>
        <v>458.23689999999999</v>
      </c>
      <c r="AD27" s="19">
        <f>TRANSICAO!$AD$27*CUSTOS!$T$3</f>
        <v>0</v>
      </c>
      <c r="AE27" s="19">
        <v>0</v>
      </c>
      <c r="AF27" s="19">
        <v>0</v>
      </c>
      <c r="AG27" s="19"/>
      <c r="AH27" s="19">
        <f>(1 - CUSTOS!$M$25)*19.3173</f>
        <v>19.317299999999999</v>
      </c>
      <c r="AI27" s="19">
        <v>0</v>
      </c>
      <c r="AJ27" s="19">
        <f ca="1">$N$64*(1-CUSTOS!$M$25)</f>
        <v>2.4535452432851668</v>
      </c>
      <c r="AK27" s="19">
        <f t="shared" ca="1" si="0"/>
        <v>2.4535452432851668</v>
      </c>
      <c r="AL27" s="19"/>
      <c r="AM27" s="19"/>
      <c r="AP27" s="19">
        <f>IF((1 - CUSTOS!$M$25)&lt;&gt;0,1/(1 - CUSTOS!$M$25),1)</f>
        <v>1</v>
      </c>
    </row>
    <row r="28" spans="1:42" ht="11.25" customHeight="1" x14ac:dyDescent="0.3">
      <c r="A28" s="125"/>
      <c r="B28" s="125"/>
      <c r="C28" s="125"/>
      <c r="D28" s="22" t="s">
        <v>31</v>
      </c>
      <c r="E28" s="22" t="s">
        <v>25</v>
      </c>
      <c r="F28" s="22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19">
        <v>0</v>
      </c>
      <c r="M2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2.4939365155900171</v>
      </c>
      <c r="N28" s="19">
        <f ca="1">(+M28+O28+R28+U28+V28+W28+X28+Y28+Z28+AA28+AC28+AH28+AI28+AJ28+AK28)*CUSTOS!$M$5</f>
        <v>7.3993882700216036E-12</v>
      </c>
      <c r="O28" s="19">
        <f>1 - CUSTOS!$M$26</f>
        <v>1</v>
      </c>
      <c r="P28" s="19">
        <v>0</v>
      </c>
      <c r="Q28" s="19">
        <v>0</v>
      </c>
      <c r="R28" s="19">
        <v>0</v>
      </c>
      <c r="S28" s="19">
        <f>1 - CUSTOS!$M$26</f>
        <v>1</v>
      </c>
      <c r="T28" s="19"/>
      <c r="U28" s="19">
        <f>TRANSICAO!$U$28*CUSTOS!$T$3</f>
        <v>0</v>
      </c>
      <c r="V28" s="19">
        <f>TRANSICAO!$V$28*CUSTOS!$T$3</f>
        <v>0</v>
      </c>
      <c r="W28" s="19">
        <f>TRANSICAO!$W$28*CUSTOS!$T$3</f>
        <v>0</v>
      </c>
      <c r="X28" s="19">
        <f>TRANSICAO!$X$28*CUSTOS!$T$3</f>
        <v>0</v>
      </c>
      <c r="Y28" s="19">
        <f>TRANSICAO!$Y$28*CUSTOS!$T$3</f>
        <v>253.9836</v>
      </c>
      <c r="Z28" s="19">
        <f>TRANSICAO!$Z$28*CUSTOS!$T$3</f>
        <v>0</v>
      </c>
      <c r="AA28" s="19">
        <f>TRANSICAO!$AA$28*CUSTOS!$T$3</f>
        <v>0</v>
      </c>
      <c r="AB28" s="19">
        <f>TRANSICAO!$AB$28*CUSTOS!$T$3</f>
        <v>0</v>
      </c>
      <c r="AC28" s="19">
        <f>TRANSICAO!$AC$28*CUSTOS!$T$3</f>
        <v>458.23689999999999</v>
      </c>
      <c r="AD28" s="19">
        <f>TRANSICAO!$AD$28*CUSTOS!$T$3</f>
        <v>0</v>
      </c>
      <c r="AE28" s="19">
        <v>0</v>
      </c>
      <c r="AF28" s="19">
        <v>0</v>
      </c>
      <c r="AG28" s="19"/>
      <c r="AH28" s="19">
        <f>(1 - CUSTOS!$M$26)*19.3173</f>
        <v>19.317299999999999</v>
      </c>
      <c r="AI28" s="19">
        <v>0</v>
      </c>
      <c r="AJ28" s="19">
        <f ca="1">$N$64*(1-CUSTOS!$M$26)</f>
        <v>2.4535452432851668</v>
      </c>
      <c r="AK28" s="19">
        <f t="shared" ca="1" si="0"/>
        <v>2.4535452432851668</v>
      </c>
      <c r="AL28" s="19"/>
      <c r="AM28" s="19"/>
      <c r="AP28" s="19">
        <f>IF((1 - CUSTOS!$M$26)&lt;&gt;0,1/(1 - CUSTOS!$M$26),1)</f>
        <v>1</v>
      </c>
    </row>
    <row r="29" spans="1:42" ht="11.25" customHeight="1" x14ac:dyDescent="0.3">
      <c r="A29" s="125"/>
      <c r="B29" s="125"/>
      <c r="C29" s="125"/>
      <c r="D29" s="22" t="s">
        <v>32</v>
      </c>
      <c r="E29" s="22" t="s">
        <v>25</v>
      </c>
      <c r="F29" s="22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19">
        <v>0</v>
      </c>
      <c r="M2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2.4939365155900171</v>
      </c>
      <c r="N29" s="19">
        <f ca="1">(+M29+O29+R29+U29+V29+W29+X29+Y29+Z29+AA29+AC29+AH29+AI29+AJ29+AK29)*CUSTOS!$M$5</f>
        <v>7.3993882700216036E-12</v>
      </c>
      <c r="O29" s="19">
        <f>1 - CUSTOS!$M$27</f>
        <v>1</v>
      </c>
      <c r="P29" s="19">
        <v>0</v>
      </c>
      <c r="Q29" s="19">
        <v>0</v>
      </c>
      <c r="R29" s="19">
        <v>0</v>
      </c>
      <c r="S29" s="19">
        <f>1 - CUSTOS!$M$27</f>
        <v>1</v>
      </c>
      <c r="T29" s="19"/>
      <c r="U29" s="19">
        <f>TRANSICAO!$U$29*CUSTOS!$T$3</f>
        <v>0</v>
      </c>
      <c r="V29" s="19">
        <f>TRANSICAO!$V$29*CUSTOS!$T$3</f>
        <v>0</v>
      </c>
      <c r="W29" s="19">
        <f>TRANSICAO!$W$29*CUSTOS!$T$3</f>
        <v>0</v>
      </c>
      <c r="X29" s="19">
        <f>TRANSICAO!$X$29*CUSTOS!$T$3</f>
        <v>0</v>
      </c>
      <c r="Y29" s="19">
        <f>TRANSICAO!$Y$29*CUSTOS!$T$3</f>
        <v>253.9836</v>
      </c>
      <c r="Z29" s="19">
        <f>TRANSICAO!$Z$29*CUSTOS!$T$3</f>
        <v>0</v>
      </c>
      <c r="AA29" s="19">
        <f>TRANSICAO!$AA$29*CUSTOS!$T$3</f>
        <v>0</v>
      </c>
      <c r="AB29" s="19">
        <f>TRANSICAO!$AB$29*CUSTOS!$T$3</f>
        <v>0</v>
      </c>
      <c r="AC29" s="19">
        <f>TRANSICAO!$AC$29*CUSTOS!$T$3</f>
        <v>458.23689999999999</v>
      </c>
      <c r="AD29" s="19">
        <f>TRANSICAO!$AD$29*CUSTOS!$T$3</f>
        <v>0</v>
      </c>
      <c r="AE29" s="19">
        <v>0</v>
      </c>
      <c r="AF29" s="19">
        <v>0</v>
      </c>
      <c r="AG29" s="19"/>
      <c r="AH29" s="19">
        <f>(1 - CUSTOS!$M$27)*19.3173</f>
        <v>19.317299999999999</v>
      </c>
      <c r="AI29" s="19">
        <v>0</v>
      </c>
      <c r="AJ29" s="19">
        <f ca="1">$N$64*(1-CUSTOS!$M$27)</f>
        <v>2.4535452432851668</v>
      </c>
      <c r="AK29" s="19">
        <f t="shared" ca="1" si="0"/>
        <v>2.4535452432851668</v>
      </c>
      <c r="AL29" s="19"/>
      <c r="AM29" s="19"/>
      <c r="AP29" s="19">
        <f>IF((1 - CUSTOS!$M$27)&lt;&gt;0,1/(1 - CUSTOS!$M$27),1)</f>
        <v>1</v>
      </c>
    </row>
    <row r="30" spans="1:42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19">
        <f>1*(1 - CUSTOS!$M$28)</f>
        <v>1</v>
      </c>
      <c r="M3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2.4939365155900171</v>
      </c>
      <c r="N30" s="19">
        <f ca="1">(+M30+O30+R30+U30+V30+W30+X30+Y30+Z30+AA30+AC30+AH30+AI30+AJ30+AK30)*CUSTOS!$M$5</f>
        <v>2.1653789270021602E-11</v>
      </c>
      <c r="O30" s="19">
        <f>1 - CUSTOS!$M$28</f>
        <v>1</v>
      </c>
      <c r="P30" s="19">
        <f>1 - CUSTOS!$M$28</f>
        <v>1</v>
      </c>
      <c r="Q30" s="19">
        <f>1*(1 - CUSTOS!$M$28)</f>
        <v>1</v>
      </c>
      <c r="R30" s="19">
        <f>1 - CUSTOS!$M$28</f>
        <v>1</v>
      </c>
      <c r="S30" s="19">
        <f>1 - CUSTOS!$M$28</f>
        <v>1</v>
      </c>
      <c r="T30" s="19"/>
      <c r="U30" s="19">
        <f>TRANSICAO!$U$30*CUSTOS!$T$3</f>
        <v>0</v>
      </c>
      <c r="V30" s="19">
        <f>TRANSICAO!$V$30*CUSTOS!$T$3</f>
        <v>0</v>
      </c>
      <c r="W30" s="19">
        <f>TRANSICAO!$W$30*CUSTOS!$T$3</f>
        <v>0</v>
      </c>
      <c r="X30" s="19">
        <f>TRANSICAO!$X$30*CUSTOS!$T$3</f>
        <v>0</v>
      </c>
      <c r="Y30" s="19">
        <f>TRANSICAO!$Y$30*CUSTOS!$T$3</f>
        <v>761.94979999999998</v>
      </c>
      <c r="Z30" s="19">
        <f>TRANSICAO!$Z$30*CUSTOS!$T$3</f>
        <v>0</v>
      </c>
      <c r="AA30" s="19">
        <f>TRANSICAO!$AA$30*CUSTOS!$T$3</f>
        <v>0</v>
      </c>
      <c r="AB30" s="19">
        <f>TRANSICAO!$AB$30*CUSTOS!$T$3</f>
        <v>0</v>
      </c>
      <c r="AC30" s="19">
        <f>TRANSICAO!$AC$30*CUSTOS!$T$3</f>
        <v>1374.7108000000001</v>
      </c>
      <c r="AD30" s="19">
        <f>TRANSICAO!$AD$30*CUSTOS!$T$3</f>
        <v>0</v>
      </c>
      <c r="AE30" s="19">
        <v>0</v>
      </c>
      <c r="AF30" s="19">
        <v>0</v>
      </c>
      <c r="AG30" s="19"/>
      <c r="AH30" s="19">
        <f>(1 - CUSTOS!$M$28)*19.3173</f>
        <v>19.317299999999999</v>
      </c>
      <c r="AI30" s="19">
        <v>0</v>
      </c>
      <c r="AJ30" s="19">
        <f ca="1">$N$64*(1-CUSTOS!$M$28)</f>
        <v>2.4535452432851668</v>
      </c>
      <c r="AK30" s="19">
        <f t="shared" ca="1" si="0"/>
        <v>2.4535452432851668</v>
      </c>
      <c r="AL30" s="19"/>
      <c r="AM30" s="19"/>
      <c r="AP30" s="19">
        <f>IF((1 - CUSTOS!$M$28)&lt;&gt;0,1/(1 - CUSTOS!$M$28),1)</f>
        <v>1</v>
      </c>
    </row>
    <row r="31" spans="1:42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19">
        <f>1*(1 - CUSTOS!$M$28)</f>
        <v>1</v>
      </c>
      <c r="M3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2.4939365155900171</v>
      </c>
      <c r="N31" s="19">
        <f ca="1">(+M31+O31+R31+U31+V31+W31+X31+Y31+Z31+AA31+AC31+AH31+AI31+AJ31+AK31)*CUSTOS!$M$5</f>
        <v>1.3107132270021602E-11</v>
      </c>
      <c r="O31" s="19">
        <f>1 - CUSTOS!$M$28</f>
        <v>1</v>
      </c>
      <c r="P31" s="19">
        <f>1 - CUSTOS!$M$28</f>
        <v>1</v>
      </c>
      <c r="Q31" s="19">
        <f>1*(1 - CUSTOS!$M$28)</f>
        <v>1</v>
      </c>
      <c r="R31" s="19">
        <f>1 - CUSTOS!$M$28</f>
        <v>1</v>
      </c>
      <c r="S31" s="19">
        <f>1 - CUSTOS!$M$28</f>
        <v>1</v>
      </c>
      <c r="T31" s="19"/>
      <c r="U31" s="19">
        <f>TRANSICAO!$U$31*CUSTOS!$T$3</f>
        <v>0</v>
      </c>
      <c r="V31" s="19">
        <f>TRANSICAO!$V$31*CUSTOS!$T$3</f>
        <v>0</v>
      </c>
      <c r="W31" s="19">
        <f>TRANSICAO!$W$31*CUSTOS!$T$3</f>
        <v>0</v>
      </c>
      <c r="X31" s="19">
        <f>TRANSICAO!$X$31*CUSTOS!$T$3</f>
        <v>0</v>
      </c>
      <c r="Y31" s="19">
        <f>TRANSICAO!$Y$31*CUSTOS!$T$3</f>
        <v>457.16840000000002</v>
      </c>
      <c r="Z31" s="19">
        <f>TRANSICAO!$Z$31*CUSTOS!$T$3</f>
        <v>0</v>
      </c>
      <c r="AA31" s="19">
        <f>TRANSICAO!$AA$31*CUSTOS!$T$3</f>
        <v>0</v>
      </c>
      <c r="AB31" s="19">
        <f>TRANSICAO!$AB$31*CUSTOS!$T$3</f>
        <v>0</v>
      </c>
      <c r="AC31" s="19">
        <f>TRANSICAO!$AC$31*CUSTOS!$T$3</f>
        <v>824.82650000000001</v>
      </c>
      <c r="AD31" s="19">
        <f>TRANSICAO!$AD$31*CUSTOS!$T$3</f>
        <v>0</v>
      </c>
      <c r="AE31" s="19">
        <v>0</v>
      </c>
      <c r="AF31" s="19">
        <v>0</v>
      </c>
      <c r="AG31" s="19"/>
      <c r="AH31" s="19">
        <f>(1 - CUSTOS!$M$28)*19.3173</f>
        <v>19.317299999999999</v>
      </c>
      <c r="AI31" s="19">
        <v>0</v>
      </c>
      <c r="AJ31" s="19">
        <f ca="1">$N$64*(1-CUSTOS!$M$28)</f>
        <v>2.4535452432851668</v>
      </c>
      <c r="AK31" s="19">
        <f t="shared" ca="1" si="0"/>
        <v>2.4535452432851668</v>
      </c>
      <c r="AL31" s="19"/>
      <c r="AM31" s="19"/>
      <c r="AP31" s="19">
        <f>IF((1 - CUSTOS!$M$28)&lt;&gt;0,1/(1 - CUSTOS!$M$28),1)</f>
        <v>1</v>
      </c>
    </row>
    <row r="32" spans="1:42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19">
        <f>1*(1 - CUSTOS!$M$28)</f>
        <v>1</v>
      </c>
      <c r="M3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2.4939365155900171</v>
      </c>
      <c r="N32" s="19">
        <f ca="1">(+M32+O32+R32+U32+V32+W32+X32+Y32+Z32+AA32+AC32+AH32+AI32+AJ32+AK32)*CUSTOS!$M$5</f>
        <v>4.5605122700216038E-12</v>
      </c>
      <c r="O32" s="19">
        <f>1 - CUSTOS!$M$28</f>
        <v>1</v>
      </c>
      <c r="P32" s="19">
        <f>1 - CUSTOS!$M$28</f>
        <v>1</v>
      </c>
      <c r="Q32" s="19">
        <f>1*(1 - CUSTOS!$M$28)</f>
        <v>1</v>
      </c>
      <c r="R32" s="19">
        <f>1 - CUSTOS!$M$28</f>
        <v>1</v>
      </c>
      <c r="S32" s="19">
        <f>1 - CUSTOS!$M$28</f>
        <v>1</v>
      </c>
      <c r="T32" s="19"/>
      <c r="U32" s="19">
        <f>TRANSICAO!$U$32*CUSTOS!$T$3</f>
        <v>0</v>
      </c>
      <c r="V32" s="19">
        <f>TRANSICAO!$V$32*CUSTOS!$T$3</f>
        <v>0</v>
      </c>
      <c r="W32" s="19">
        <f>TRANSICAO!$W$32*CUSTOS!$T$3</f>
        <v>0</v>
      </c>
      <c r="X32" s="19">
        <f>TRANSICAO!$X$32*CUSTOS!$T$3</f>
        <v>0</v>
      </c>
      <c r="Y32" s="19">
        <f>TRANSICAO!$Y$32*CUSTOS!$T$3</f>
        <v>152.39060000000001</v>
      </c>
      <c r="Z32" s="19">
        <f>TRANSICAO!$Z$32*CUSTOS!$T$3</f>
        <v>0</v>
      </c>
      <c r="AA32" s="19">
        <f>TRANSICAO!$AA$32*CUSTOS!$T$3</f>
        <v>0</v>
      </c>
      <c r="AB32" s="19">
        <f>TRANSICAO!$AB$32*CUSTOS!$T$3</f>
        <v>0</v>
      </c>
      <c r="AC32" s="19">
        <f>TRANSICAO!$AC$32*CUSTOS!$T$3</f>
        <v>274.94229999999999</v>
      </c>
      <c r="AD32" s="19">
        <f>TRANSICAO!$AD$32*CUSTOS!$T$3</f>
        <v>0</v>
      </c>
      <c r="AE32" s="19">
        <v>0</v>
      </c>
      <c r="AF32" s="19">
        <v>0</v>
      </c>
      <c r="AG32" s="19"/>
      <c r="AH32" s="19">
        <f>(1 - CUSTOS!$M$28)*19.3173</f>
        <v>19.317299999999999</v>
      </c>
      <c r="AI32" s="19">
        <v>0</v>
      </c>
      <c r="AJ32" s="19">
        <f ca="1">$N$64*(1-CUSTOS!$M$28)</f>
        <v>2.4535452432851668</v>
      </c>
      <c r="AK32" s="19">
        <f t="shared" ca="1" si="0"/>
        <v>2.4535452432851668</v>
      </c>
      <c r="AL32" s="19"/>
      <c r="AM32" s="19"/>
      <c r="AP32" s="19">
        <f>IF((1 - CUSTOS!$M$28)&lt;&gt;0,1/(1 - CUSTOS!$M$28),1)</f>
        <v>1</v>
      </c>
    </row>
    <row r="33" spans="1:42" ht="11.25" customHeight="1" x14ac:dyDescent="0.3">
      <c r="A33" s="125"/>
      <c r="B33" s="22" t="s">
        <v>23</v>
      </c>
      <c r="C33" s="22" t="s">
        <v>41</v>
      </c>
      <c r="D33" s="22" t="s">
        <v>25</v>
      </c>
      <c r="E33" s="22" t="s">
        <v>25</v>
      </c>
      <c r="F33" s="22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19">
        <f>1*(1 - CUSTOS!$M$28)</f>
        <v>1</v>
      </c>
      <c r="M3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2.4939365155900171</v>
      </c>
      <c r="N33" s="19">
        <f ca="1">(+M33+O33+R33+U33+V33+W33+X33+Y33+Z33+AA33+AC33+AH33+AI33+AJ33+AK33)*CUSTOS!$M$5</f>
        <v>7.4093882700216038E-12</v>
      </c>
      <c r="O33" s="19">
        <f>1 - CUSTOS!$M$28</f>
        <v>1</v>
      </c>
      <c r="P33" s="19">
        <f>1 - CUSTOS!$M$28</f>
        <v>1</v>
      </c>
      <c r="Q33" s="19">
        <f>1*(1 - CUSTOS!$M$28)</f>
        <v>1</v>
      </c>
      <c r="R33" s="19">
        <f>1 - CUSTOS!$M$28</f>
        <v>1</v>
      </c>
      <c r="S33" s="19">
        <f>1 - CUSTOS!$M$28</f>
        <v>1</v>
      </c>
      <c r="T33" s="19"/>
      <c r="U33" s="19">
        <f>TRANSICAO!$U$33*CUSTOS!$T$3</f>
        <v>0</v>
      </c>
      <c r="V33" s="19">
        <f>TRANSICAO!$V$33*CUSTOS!$T$3</f>
        <v>0</v>
      </c>
      <c r="W33" s="19">
        <f>TRANSICAO!$W$33*CUSTOS!$T$3</f>
        <v>0</v>
      </c>
      <c r="X33" s="19">
        <f>TRANSICAO!$X$33*CUSTOS!$T$3</f>
        <v>0</v>
      </c>
      <c r="Y33" s="19">
        <f>TRANSICAO!$Y$33*CUSTOS!$T$3</f>
        <v>253.9836</v>
      </c>
      <c r="Z33" s="19">
        <f>TRANSICAO!$Z$33*CUSTOS!$T$3</f>
        <v>0</v>
      </c>
      <c r="AA33" s="19">
        <f>TRANSICAO!$AA$33*CUSTOS!$T$3</f>
        <v>0</v>
      </c>
      <c r="AB33" s="19">
        <f>TRANSICAO!$AB$33*CUSTOS!$T$3</f>
        <v>0</v>
      </c>
      <c r="AC33" s="19">
        <f>TRANSICAO!$AC$33*CUSTOS!$T$3</f>
        <v>458.23689999999999</v>
      </c>
      <c r="AD33" s="19">
        <f>TRANSICAO!$AD$33*CUSTOS!$T$3</f>
        <v>0</v>
      </c>
      <c r="AE33" s="19">
        <v>0</v>
      </c>
      <c r="AF33" s="19">
        <v>0</v>
      </c>
      <c r="AG33" s="19"/>
      <c r="AH33" s="19">
        <f>(1 - CUSTOS!$M$28)*19.3173</f>
        <v>19.317299999999999</v>
      </c>
      <c r="AI33" s="19">
        <v>0</v>
      </c>
      <c r="AJ33" s="19">
        <f ca="1">$N$64*(1-CUSTOS!$M$28)</f>
        <v>2.4535452432851668</v>
      </c>
      <c r="AK33" s="19">
        <f t="shared" ca="1" si="0"/>
        <v>2.4535452432851668</v>
      </c>
      <c r="AL33" s="19"/>
      <c r="AM33" s="19"/>
      <c r="AP33" s="19">
        <f>IF((1 - CUSTOS!$M$28)&lt;&gt;0,1/(1 - CUSTOS!$M$28),1)</f>
        <v>1</v>
      </c>
    </row>
    <row r="34" spans="1:42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19">
        <f>1*(1 - CUSTOS!$M$29)</f>
        <v>1</v>
      </c>
      <c r="M3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2.4939365155900171</v>
      </c>
      <c r="N34" s="19">
        <f ca="1">(+M34+O34+R34+U34+V34+W34+X34+Y34+Z34+AA34+AC34+AH34+AI34+AJ34+AK34)*CUSTOS!$M$5</f>
        <v>2.1653789270021602E-11</v>
      </c>
      <c r="O34" s="19">
        <f>1 - CUSTOS!$M$29</f>
        <v>1</v>
      </c>
      <c r="P34" s="19">
        <f>1 - CUSTOS!$M$29</f>
        <v>1</v>
      </c>
      <c r="Q34" s="19">
        <f>1*(1 - CUSTOS!$M$29)</f>
        <v>1</v>
      </c>
      <c r="R34" s="19">
        <f>1 - CUSTOS!$M$29</f>
        <v>1</v>
      </c>
      <c r="S34" s="19">
        <f>1 - CUSTOS!$M$29</f>
        <v>1</v>
      </c>
      <c r="T34" s="19"/>
      <c r="U34" s="19">
        <f>TRANSICAO!$U$34*CUSTOS!$T$3</f>
        <v>0</v>
      </c>
      <c r="V34" s="19">
        <f>TRANSICAO!$V$34*CUSTOS!$T$3</f>
        <v>0</v>
      </c>
      <c r="W34" s="19">
        <f>TRANSICAO!$W$34*CUSTOS!$T$3</f>
        <v>0</v>
      </c>
      <c r="X34" s="19">
        <f>TRANSICAO!$X$34*CUSTOS!$T$3</f>
        <v>0</v>
      </c>
      <c r="Y34" s="19">
        <f>TRANSICAO!$Y$34*CUSTOS!$T$3</f>
        <v>761.94979999999998</v>
      </c>
      <c r="Z34" s="19">
        <f>TRANSICAO!$Z$34*CUSTOS!$T$3</f>
        <v>0</v>
      </c>
      <c r="AA34" s="19">
        <f>TRANSICAO!$AA$34*CUSTOS!$T$3</f>
        <v>0</v>
      </c>
      <c r="AB34" s="19">
        <f>TRANSICAO!$AB$34*CUSTOS!$T$3</f>
        <v>0</v>
      </c>
      <c r="AC34" s="19">
        <f>TRANSICAO!$AC$34*CUSTOS!$T$3</f>
        <v>1374.7108000000001</v>
      </c>
      <c r="AD34" s="19">
        <f>TRANSICAO!$AD$34*CUSTOS!$T$3</f>
        <v>0</v>
      </c>
      <c r="AE34" s="19">
        <v>0</v>
      </c>
      <c r="AF34" s="19">
        <v>0</v>
      </c>
      <c r="AG34" s="19"/>
      <c r="AH34" s="19">
        <f>(1 - CUSTOS!$M$29)*19.3173</f>
        <v>19.317299999999999</v>
      </c>
      <c r="AI34" s="19">
        <v>0</v>
      </c>
      <c r="AJ34" s="19">
        <f ca="1">$N$64*(1-CUSTOS!$M$29)</f>
        <v>2.4535452432851668</v>
      </c>
      <c r="AK34" s="19">
        <f t="shared" ca="1" si="0"/>
        <v>2.4535452432851668</v>
      </c>
      <c r="AL34" s="19"/>
      <c r="AM34" s="19"/>
      <c r="AP34" s="19">
        <f>IF((1 - CUSTOS!$M$29)&lt;&gt;0,1/(1 - CUSTOS!$M$29),1)</f>
        <v>1</v>
      </c>
    </row>
    <row r="35" spans="1:42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19">
        <f>1*(1 - CUSTOS!$M$29)</f>
        <v>1</v>
      </c>
      <c r="M3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2.4939365155900171</v>
      </c>
      <c r="N35" s="19">
        <f ca="1">(+M35+O35+R35+U35+V35+W35+X35+Y35+Z35+AA35+AC35+AH35+AI35+AJ35+AK35)*CUSTOS!$M$5</f>
        <v>1.3107132270021602E-11</v>
      </c>
      <c r="O35" s="19">
        <f>1 - CUSTOS!$M$29</f>
        <v>1</v>
      </c>
      <c r="P35" s="19">
        <f>1 - CUSTOS!$M$29</f>
        <v>1</v>
      </c>
      <c r="Q35" s="19">
        <f>1*(1 - CUSTOS!$M$29)</f>
        <v>1</v>
      </c>
      <c r="R35" s="19">
        <f>1 - CUSTOS!$M$29</f>
        <v>1</v>
      </c>
      <c r="S35" s="19">
        <f>1 - CUSTOS!$M$29</f>
        <v>1</v>
      </c>
      <c r="T35" s="19"/>
      <c r="U35" s="19">
        <f>TRANSICAO!$U$35*CUSTOS!$T$3</f>
        <v>0</v>
      </c>
      <c r="V35" s="19">
        <f>TRANSICAO!$V$35*CUSTOS!$T$3</f>
        <v>0</v>
      </c>
      <c r="W35" s="19">
        <f>TRANSICAO!$W$35*CUSTOS!$T$3</f>
        <v>0</v>
      </c>
      <c r="X35" s="19">
        <f>TRANSICAO!$X$35*CUSTOS!$T$3</f>
        <v>0</v>
      </c>
      <c r="Y35" s="19">
        <f>TRANSICAO!$Y$35*CUSTOS!$T$3</f>
        <v>457.16840000000002</v>
      </c>
      <c r="Z35" s="19">
        <f>TRANSICAO!$Z$35*CUSTOS!$T$3</f>
        <v>0</v>
      </c>
      <c r="AA35" s="19">
        <f>TRANSICAO!$AA$35*CUSTOS!$T$3</f>
        <v>0</v>
      </c>
      <c r="AB35" s="19">
        <f>TRANSICAO!$AB$35*CUSTOS!$T$3</f>
        <v>0</v>
      </c>
      <c r="AC35" s="19">
        <f>TRANSICAO!$AC$35*CUSTOS!$T$3</f>
        <v>824.82650000000001</v>
      </c>
      <c r="AD35" s="19">
        <f>TRANSICAO!$AD$35*CUSTOS!$T$3</f>
        <v>0</v>
      </c>
      <c r="AE35" s="19">
        <v>0</v>
      </c>
      <c r="AF35" s="19">
        <v>0</v>
      </c>
      <c r="AG35" s="19"/>
      <c r="AH35" s="19">
        <f>(1 - CUSTOS!$M$29)*19.3173</f>
        <v>19.317299999999999</v>
      </c>
      <c r="AI35" s="19">
        <v>0</v>
      </c>
      <c r="AJ35" s="19">
        <f ca="1">$N$64*(1-CUSTOS!$M$29)</f>
        <v>2.4535452432851668</v>
      </c>
      <c r="AK35" s="19">
        <f t="shared" ca="1" si="0"/>
        <v>2.4535452432851668</v>
      </c>
      <c r="AL35" s="19"/>
      <c r="AM35" s="19"/>
      <c r="AP35" s="19">
        <f>IF((1 - CUSTOS!$M$29)&lt;&gt;0,1/(1 - CUSTOS!$M$29),1)</f>
        <v>1</v>
      </c>
    </row>
    <row r="36" spans="1:42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19">
        <f>1*(1 - CUSTOS!$M$29)</f>
        <v>1</v>
      </c>
      <c r="M3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2.4939365155900171</v>
      </c>
      <c r="N36" s="19">
        <f ca="1">(+M36+O36+R36+U36+V36+W36+X36+Y36+Z36+AA36+AC36+AH36+AI36+AJ36+AK36)*CUSTOS!$M$5</f>
        <v>4.5605122700216038E-12</v>
      </c>
      <c r="O36" s="19">
        <f>1 - CUSTOS!$M$29</f>
        <v>1</v>
      </c>
      <c r="P36" s="19">
        <f>1 - CUSTOS!$M$29</f>
        <v>1</v>
      </c>
      <c r="Q36" s="19">
        <f>1*(1 - CUSTOS!$M$29)</f>
        <v>1</v>
      </c>
      <c r="R36" s="19">
        <f>1 - CUSTOS!$M$29</f>
        <v>1</v>
      </c>
      <c r="S36" s="19">
        <f>1 - CUSTOS!$M$29</f>
        <v>1</v>
      </c>
      <c r="T36" s="19"/>
      <c r="U36" s="19">
        <f>TRANSICAO!$U$36*CUSTOS!$T$3</f>
        <v>0</v>
      </c>
      <c r="V36" s="19">
        <f>TRANSICAO!$V$36*CUSTOS!$T$3</f>
        <v>0</v>
      </c>
      <c r="W36" s="19">
        <f>TRANSICAO!$W$36*CUSTOS!$T$3</f>
        <v>0</v>
      </c>
      <c r="X36" s="19">
        <f>TRANSICAO!$X$36*CUSTOS!$T$3</f>
        <v>0</v>
      </c>
      <c r="Y36" s="19">
        <f>TRANSICAO!$Y$36*CUSTOS!$T$3</f>
        <v>152.39060000000001</v>
      </c>
      <c r="Z36" s="19">
        <f>TRANSICAO!$Z$36*CUSTOS!$T$3</f>
        <v>0</v>
      </c>
      <c r="AA36" s="19">
        <f>TRANSICAO!$AA$36*CUSTOS!$T$3</f>
        <v>0</v>
      </c>
      <c r="AB36" s="19">
        <f>TRANSICAO!$AB$36*CUSTOS!$T$3</f>
        <v>0</v>
      </c>
      <c r="AC36" s="19">
        <f>TRANSICAO!$AC$36*CUSTOS!$T$3</f>
        <v>274.94229999999999</v>
      </c>
      <c r="AD36" s="19">
        <f>TRANSICAO!$AD$36*CUSTOS!$T$3</f>
        <v>0</v>
      </c>
      <c r="AE36" s="19">
        <v>0</v>
      </c>
      <c r="AF36" s="19">
        <v>0</v>
      </c>
      <c r="AG36" s="19"/>
      <c r="AH36" s="19">
        <f>(1 - CUSTOS!$M$29)*19.3173</f>
        <v>19.317299999999999</v>
      </c>
      <c r="AI36" s="19">
        <v>0</v>
      </c>
      <c r="AJ36" s="19">
        <f ca="1">$N$64*(1-CUSTOS!$M$29)</f>
        <v>2.4535452432851668</v>
      </c>
      <c r="AK36" s="19">
        <f t="shared" ca="1" si="0"/>
        <v>2.4535452432851668</v>
      </c>
      <c r="AL36" s="19"/>
      <c r="AM36" s="19"/>
      <c r="AP36" s="19">
        <f>IF((1 - CUSTOS!$M$29)&lt;&gt;0,1/(1 - CUSTOS!$M$29),1)</f>
        <v>1</v>
      </c>
    </row>
    <row r="37" spans="1:42" ht="11.25" customHeight="1" x14ac:dyDescent="0.3">
      <c r="A37" s="125"/>
      <c r="B37" s="22" t="s">
        <v>23</v>
      </c>
      <c r="C37" s="22" t="s">
        <v>41</v>
      </c>
      <c r="D37" s="22" t="s">
        <v>85</v>
      </c>
      <c r="E37" s="22" t="s">
        <v>25</v>
      </c>
      <c r="F37" s="22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19">
        <f>1*(1 - CUSTOS!$M$29)</f>
        <v>1</v>
      </c>
      <c r="M3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2.4939365155900171</v>
      </c>
      <c r="N37" s="19">
        <f ca="1">(+M37+O37+R37+U37+V37+W37+X37+Y37+Z37+AA37+AC37+AH37+AI37+AJ37+AK37)*CUSTOS!$M$5</f>
        <v>7.4093882700216038E-12</v>
      </c>
      <c r="O37" s="19">
        <f>1 - CUSTOS!$M$29</f>
        <v>1</v>
      </c>
      <c r="P37" s="19">
        <f>1 - CUSTOS!$M$29</f>
        <v>1</v>
      </c>
      <c r="Q37" s="19">
        <f>1*(1 - CUSTOS!$M$29)</f>
        <v>1</v>
      </c>
      <c r="R37" s="19">
        <f>1 - CUSTOS!$M$29</f>
        <v>1</v>
      </c>
      <c r="S37" s="19">
        <f>1 - CUSTOS!$M$29</f>
        <v>1</v>
      </c>
      <c r="T37" s="19"/>
      <c r="U37" s="19">
        <f>TRANSICAO!$U$37*CUSTOS!$T$3</f>
        <v>0</v>
      </c>
      <c r="V37" s="19">
        <f>TRANSICAO!$V$37*CUSTOS!$T$3</f>
        <v>0</v>
      </c>
      <c r="W37" s="19">
        <f>TRANSICAO!$W$37*CUSTOS!$T$3</f>
        <v>0</v>
      </c>
      <c r="X37" s="19">
        <f>TRANSICAO!$X$37*CUSTOS!$T$3</f>
        <v>0</v>
      </c>
      <c r="Y37" s="19">
        <f>TRANSICAO!$Y$37*CUSTOS!$T$3</f>
        <v>253.9836</v>
      </c>
      <c r="Z37" s="19">
        <f>TRANSICAO!$Z$37*CUSTOS!$T$3</f>
        <v>0</v>
      </c>
      <c r="AA37" s="19">
        <f>TRANSICAO!$AA$37*CUSTOS!$T$3</f>
        <v>0</v>
      </c>
      <c r="AB37" s="19">
        <f>TRANSICAO!$AB$37*CUSTOS!$T$3</f>
        <v>0</v>
      </c>
      <c r="AC37" s="19">
        <f>TRANSICAO!$AC$37*CUSTOS!$T$3</f>
        <v>458.23689999999999</v>
      </c>
      <c r="AD37" s="19">
        <f>TRANSICAO!$AD$37*CUSTOS!$T$3</f>
        <v>0</v>
      </c>
      <c r="AE37" s="19">
        <v>0</v>
      </c>
      <c r="AF37" s="19">
        <v>0</v>
      </c>
      <c r="AG37" s="19"/>
      <c r="AH37" s="19">
        <f>(1 - CUSTOS!$M$29)*19.3173</f>
        <v>19.317299999999999</v>
      </c>
      <c r="AI37" s="19">
        <v>0</v>
      </c>
      <c r="AJ37" s="19">
        <f ca="1">$N$64*(1-CUSTOS!$M$29)</f>
        <v>2.4535452432851668</v>
      </c>
      <c r="AK37" s="19">
        <f t="shared" ca="1" si="0"/>
        <v>2.4535452432851668</v>
      </c>
      <c r="AL37" s="19"/>
      <c r="AM37" s="19"/>
      <c r="AP37" s="19">
        <f>IF((1 - CUSTOS!$M$29)&lt;&gt;0,1/(1 - CUSTOS!$M$29),1)</f>
        <v>1</v>
      </c>
    </row>
    <row r="38" spans="1:42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19">
        <f>1*(1 - CUSTOS!$M$30)</f>
        <v>1</v>
      </c>
      <c r="M3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2.4939365155900171</v>
      </c>
      <c r="N38" s="19">
        <f ca="1">(+M38+O38+R38+U38+V38+W38+X38+Y38+Z38+AA38+AC38+AH38+AI38+AJ38+AK38)*CUSTOS!$M$5</f>
        <v>2.1653789270021602E-11</v>
      </c>
      <c r="O38" s="19">
        <f>1 - CUSTOS!$M$30</f>
        <v>1</v>
      </c>
      <c r="P38" s="19">
        <f>1 - CUSTOS!$M$30</f>
        <v>1</v>
      </c>
      <c r="Q38" s="19">
        <f>1*(1 - CUSTOS!$M$30)</f>
        <v>1</v>
      </c>
      <c r="R38" s="19">
        <f>1 - CUSTOS!$M$30</f>
        <v>1</v>
      </c>
      <c r="S38" s="19">
        <f>1 - CUSTOS!$M$30</f>
        <v>1</v>
      </c>
      <c r="T38" s="19"/>
      <c r="U38" s="19">
        <f>TRANSICAO!$U$38*CUSTOS!$T$3</f>
        <v>0</v>
      </c>
      <c r="V38" s="19">
        <f>TRANSICAO!$V$38*CUSTOS!$T$3</f>
        <v>0</v>
      </c>
      <c r="W38" s="19">
        <f>TRANSICAO!$W$38*CUSTOS!$T$3</f>
        <v>0</v>
      </c>
      <c r="X38" s="19">
        <f>TRANSICAO!$X$38*CUSTOS!$T$3</f>
        <v>0</v>
      </c>
      <c r="Y38" s="19">
        <f>TRANSICAO!$Y$38*CUSTOS!$T$3</f>
        <v>761.94979999999998</v>
      </c>
      <c r="Z38" s="19">
        <f>TRANSICAO!$Z$38*CUSTOS!$T$3</f>
        <v>0</v>
      </c>
      <c r="AA38" s="19">
        <f>TRANSICAO!$AA$38*CUSTOS!$T$3</f>
        <v>0</v>
      </c>
      <c r="AB38" s="19">
        <f>TRANSICAO!$AB$38*CUSTOS!$T$3</f>
        <v>0</v>
      </c>
      <c r="AC38" s="19">
        <f>TRANSICAO!$AC$38*CUSTOS!$T$3</f>
        <v>1374.7108000000001</v>
      </c>
      <c r="AD38" s="19">
        <f>TRANSICAO!$AD$38*CUSTOS!$T$3</f>
        <v>0</v>
      </c>
      <c r="AE38" s="19">
        <v>0</v>
      </c>
      <c r="AF38" s="19">
        <v>0</v>
      </c>
      <c r="AG38" s="19"/>
      <c r="AH38" s="19">
        <f>(1 - CUSTOS!$M$30)*19.3173</f>
        <v>19.317299999999999</v>
      </c>
      <c r="AI38" s="19">
        <v>0</v>
      </c>
      <c r="AJ38" s="19">
        <f ca="1">$N$64*(1-CUSTOS!$M$30)</f>
        <v>2.4535452432851668</v>
      </c>
      <c r="AK38" s="19">
        <f t="shared" ca="1" si="0"/>
        <v>2.4535452432851668</v>
      </c>
      <c r="AL38" s="19"/>
      <c r="AM38" s="19"/>
      <c r="AP38" s="19">
        <f>IF((1 - CUSTOS!$M$30)&lt;&gt;0,1/(1 - CUSTOS!$M$30),1)</f>
        <v>1</v>
      </c>
    </row>
    <row r="39" spans="1:42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19">
        <f>1*(1 - CUSTOS!$M$30)</f>
        <v>1</v>
      </c>
      <c r="M3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2.4939365155900171</v>
      </c>
      <c r="N39" s="19">
        <f ca="1">(+M39+O39+R39+U39+V39+W39+X39+Y39+Z39+AA39+AC39+AH39+AI39+AJ39+AK39)*CUSTOS!$M$5</f>
        <v>1.3107132270021602E-11</v>
      </c>
      <c r="O39" s="19">
        <f>1 - CUSTOS!$M$30</f>
        <v>1</v>
      </c>
      <c r="P39" s="19">
        <f>1 - CUSTOS!$M$30</f>
        <v>1</v>
      </c>
      <c r="Q39" s="19">
        <f>1*(1 - CUSTOS!$M$30)</f>
        <v>1</v>
      </c>
      <c r="R39" s="19">
        <f>1 - CUSTOS!$M$30</f>
        <v>1</v>
      </c>
      <c r="S39" s="19">
        <f>1 - CUSTOS!$M$30</f>
        <v>1</v>
      </c>
      <c r="T39" s="19"/>
      <c r="U39" s="19">
        <f>TRANSICAO!$U$39*CUSTOS!$T$3</f>
        <v>0</v>
      </c>
      <c r="V39" s="19">
        <f>TRANSICAO!$V$39*CUSTOS!$T$3</f>
        <v>0</v>
      </c>
      <c r="W39" s="19">
        <f>TRANSICAO!$W$39*CUSTOS!$T$3</f>
        <v>0</v>
      </c>
      <c r="X39" s="19">
        <f>TRANSICAO!$X$39*CUSTOS!$T$3</f>
        <v>0</v>
      </c>
      <c r="Y39" s="19">
        <f>TRANSICAO!$Y$39*CUSTOS!$T$3</f>
        <v>457.16840000000002</v>
      </c>
      <c r="Z39" s="19">
        <f>TRANSICAO!$Z$39*CUSTOS!$T$3</f>
        <v>0</v>
      </c>
      <c r="AA39" s="19">
        <f>TRANSICAO!$AA$39*CUSTOS!$T$3</f>
        <v>0</v>
      </c>
      <c r="AB39" s="19">
        <f>TRANSICAO!$AB$39*CUSTOS!$T$3</f>
        <v>0</v>
      </c>
      <c r="AC39" s="19">
        <f>TRANSICAO!$AC$39*CUSTOS!$T$3</f>
        <v>824.82650000000001</v>
      </c>
      <c r="AD39" s="19">
        <f>TRANSICAO!$AD$39*CUSTOS!$T$3</f>
        <v>0</v>
      </c>
      <c r="AE39" s="19">
        <v>0</v>
      </c>
      <c r="AF39" s="19">
        <v>0</v>
      </c>
      <c r="AG39" s="19"/>
      <c r="AH39" s="19">
        <f>(1 - CUSTOS!$M$30)*19.3173</f>
        <v>19.317299999999999</v>
      </c>
      <c r="AI39" s="19">
        <v>0</v>
      </c>
      <c r="AJ39" s="19">
        <f ca="1">$N$64*(1-CUSTOS!$M$30)</f>
        <v>2.4535452432851668</v>
      </c>
      <c r="AK39" s="19">
        <f t="shared" ca="1" si="0"/>
        <v>2.4535452432851668</v>
      </c>
      <c r="AL39" s="19"/>
      <c r="AM39" s="19"/>
      <c r="AP39" s="19">
        <f>IF((1 - CUSTOS!$M$30)&lt;&gt;0,1/(1 - CUSTOS!$M$30),1)</f>
        <v>1</v>
      </c>
    </row>
    <row r="40" spans="1:42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19">
        <f>1*(1 - CUSTOS!$M$30)</f>
        <v>1</v>
      </c>
      <c r="M4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2.4939365155900171</v>
      </c>
      <c r="N40" s="19">
        <f ca="1">(+M40+O40+R40+U40+V40+W40+X40+Y40+Z40+AA40+AC40+AH40+AI40+AJ40+AK40)*CUSTOS!$M$5</f>
        <v>4.5605122700216038E-12</v>
      </c>
      <c r="O40" s="19">
        <f>1 - CUSTOS!$M$30</f>
        <v>1</v>
      </c>
      <c r="P40" s="19">
        <f>1 - CUSTOS!$M$30</f>
        <v>1</v>
      </c>
      <c r="Q40" s="19">
        <f>1*(1 - CUSTOS!$M$30)</f>
        <v>1</v>
      </c>
      <c r="R40" s="19">
        <f>1 - CUSTOS!$M$30</f>
        <v>1</v>
      </c>
      <c r="S40" s="19">
        <f>1 - CUSTOS!$M$30</f>
        <v>1</v>
      </c>
      <c r="T40" s="19"/>
      <c r="U40" s="19">
        <f>TRANSICAO!$U$40*CUSTOS!$T$3</f>
        <v>0</v>
      </c>
      <c r="V40" s="19">
        <f>TRANSICAO!$V$40*CUSTOS!$T$3</f>
        <v>0</v>
      </c>
      <c r="W40" s="19">
        <f>TRANSICAO!$W$40*CUSTOS!$T$3</f>
        <v>0</v>
      </c>
      <c r="X40" s="19">
        <f>TRANSICAO!$X$40*CUSTOS!$T$3</f>
        <v>0</v>
      </c>
      <c r="Y40" s="19">
        <f>TRANSICAO!$Y$40*CUSTOS!$T$3</f>
        <v>152.39060000000001</v>
      </c>
      <c r="Z40" s="19">
        <f>TRANSICAO!$Z$40*CUSTOS!$T$3</f>
        <v>0</v>
      </c>
      <c r="AA40" s="19">
        <f>TRANSICAO!$AA$40*CUSTOS!$T$3</f>
        <v>0</v>
      </c>
      <c r="AB40" s="19">
        <f>TRANSICAO!$AB$40*CUSTOS!$T$3</f>
        <v>0</v>
      </c>
      <c r="AC40" s="19">
        <f>TRANSICAO!$AC$40*CUSTOS!$T$3</f>
        <v>274.94229999999999</v>
      </c>
      <c r="AD40" s="19">
        <f>TRANSICAO!$AD$40*CUSTOS!$T$3</f>
        <v>0</v>
      </c>
      <c r="AE40" s="19">
        <v>0</v>
      </c>
      <c r="AF40" s="19">
        <v>0</v>
      </c>
      <c r="AG40" s="19"/>
      <c r="AH40" s="19">
        <f>(1 - CUSTOS!$M$30)*19.3173</f>
        <v>19.317299999999999</v>
      </c>
      <c r="AI40" s="19">
        <v>0</v>
      </c>
      <c r="AJ40" s="19">
        <f ca="1">$N$64*(1-CUSTOS!$M$30)</f>
        <v>2.4535452432851668</v>
      </c>
      <c r="AK40" s="19">
        <f t="shared" ca="1" si="0"/>
        <v>2.4535452432851668</v>
      </c>
      <c r="AL40" s="19"/>
      <c r="AM40" s="19"/>
      <c r="AP40" s="19">
        <f>IF((1 - CUSTOS!$M$30)&lt;&gt;0,1/(1 - CUSTOS!$M$30),1)</f>
        <v>1</v>
      </c>
    </row>
    <row r="41" spans="1:42" ht="11.25" customHeight="1" x14ac:dyDescent="0.3">
      <c r="A41" s="125"/>
      <c r="B41" s="22" t="s">
        <v>23</v>
      </c>
      <c r="C41" s="22" t="s">
        <v>41</v>
      </c>
      <c r="D41" s="22" t="s">
        <v>86</v>
      </c>
      <c r="E41" s="22" t="s">
        <v>25</v>
      </c>
      <c r="F41" s="22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19">
        <f>1*(1 - CUSTOS!$M$30)</f>
        <v>1</v>
      </c>
      <c r="M4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2.4939365155900171</v>
      </c>
      <c r="N41" s="19">
        <f ca="1">(+M41+O41+R41+U41+V41+W41+X41+Y41+Z41+AA41+AC41+AH41+AI41+AJ41+AK41)*CUSTOS!$M$5</f>
        <v>7.4093882700216038E-12</v>
      </c>
      <c r="O41" s="19">
        <f>1 - CUSTOS!$M$30</f>
        <v>1</v>
      </c>
      <c r="P41" s="19">
        <f>1 - CUSTOS!$M$30</f>
        <v>1</v>
      </c>
      <c r="Q41" s="19">
        <f>1*(1 - CUSTOS!$M$30)</f>
        <v>1</v>
      </c>
      <c r="R41" s="19">
        <f>1 - CUSTOS!$M$30</f>
        <v>1</v>
      </c>
      <c r="S41" s="19">
        <f>1 - CUSTOS!$M$30</f>
        <v>1</v>
      </c>
      <c r="T41" s="19"/>
      <c r="U41" s="19">
        <f>TRANSICAO!$U$41*CUSTOS!$T$3</f>
        <v>0</v>
      </c>
      <c r="V41" s="19">
        <f>TRANSICAO!$V$41*CUSTOS!$T$3</f>
        <v>0</v>
      </c>
      <c r="W41" s="19">
        <f>TRANSICAO!$W$41*CUSTOS!$T$3</f>
        <v>0</v>
      </c>
      <c r="X41" s="19">
        <f>TRANSICAO!$X$41*CUSTOS!$T$3</f>
        <v>0</v>
      </c>
      <c r="Y41" s="19">
        <f>TRANSICAO!$Y$41*CUSTOS!$T$3</f>
        <v>253.9836</v>
      </c>
      <c r="Z41" s="19">
        <f>TRANSICAO!$Z$41*CUSTOS!$T$3</f>
        <v>0</v>
      </c>
      <c r="AA41" s="19">
        <f>TRANSICAO!$AA$41*CUSTOS!$T$3</f>
        <v>0</v>
      </c>
      <c r="AB41" s="19">
        <f>TRANSICAO!$AB$41*CUSTOS!$T$3</f>
        <v>0</v>
      </c>
      <c r="AC41" s="19">
        <f>TRANSICAO!$AC$41*CUSTOS!$T$3</f>
        <v>458.23689999999999</v>
      </c>
      <c r="AD41" s="19">
        <f>TRANSICAO!$AD$41*CUSTOS!$T$3</f>
        <v>0</v>
      </c>
      <c r="AE41" s="19">
        <v>0</v>
      </c>
      <c r="AF41" s="19">
        <v>0</v>
      </c>
      <c r="AG41" s="19"/>
      <c r="AH41" s="19">
        <f>(1 - CUSTOS!$M$30)*19.3173</f>
        <v>19.317299999999999</v>
      </c>
      <c r="AI41" s="19">
        <v>0</v>
      </c>
      <c r="AJ41" s="19">
        <f ca="1">$N$64*(1-CUSTOS!$M$30)</f>
        <v>2.4535452432851668</v>
      </c>
      <c r="AK41" s="19">
        <f t="shared" ca="1" si="0"/>
        <v>2.4535452432851668</v>
      </c>
      <c r="AL41" s="19"/>
      <c r="AM41" s="19"/>
      <c r="AP41" s="19">
        <f>IF((1 - CUSTOS!$M$30)&lt;&gt;0,1/(1 - CUSTOS!$M$30),1)</f>
        <v>1</v>
      </c>
    </row>
    <row r="42" spans="1:42" ht="11.25" customHeight="1" x14ac:dyDescent="0.3">
      <c r="A42" s="125"/>
      <c r="B42" s="125" t="s">
        <v>84</v>
      </c>
      <c r="C42" s="125" t="s">
        <v>41</v>
      </c>
      <c r="D42" s="22" t="s">
        <v>25</v>
      </c>
      <c r="E42" s="22" t="s">
        <v>25</v>
      </c>
      <c r="F42" s="22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19">
        <f>1*(1 - CUSTOS!$M$28)</f>
        <v>1</v>
      </c>
      <c r="M4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2.4939365155900171</v>
      </c>
      <c r="N42" s="19">
        <f ca="1">(+M42+O42+R42+U42+V42+W42+X42+Y42+Z42+AA42+AC42+AH42+AI42+AJ42+AK42)*CUSTOS!$M$5</f>
        <v>7.4093882700216038E-12</v>
      </c>
      <c r="O42" s="19">
        <f>1 - CUSTOS!$M$28</f>
        <v>1</v>
      </c>
      <c r="P42" s="19">
        <f>1 - CUSTOS!$M$28</f>
        <v>1</v>
      </c>
      <c r="Q42" s="19">
        <f>1*(1 - CUSTOS!$M$28)</f>
        <v>1</v>
      </c>
      <c r="R42" s="19">
        <f>1 - CUSTOS!$M$28</f>
        <v>1</v>
      </c>
      <c r="S42" s="19">
        <f>1 - CUSTOS!$M$28</f>
        <v>1</v>
      </c>
      <c r="T42" s="19"/>
      <c r="U42" s="19">
        <f>TRANSICAO!$U$42*CUSTOS!$T$3</f>
        <v>0</v>
      </c>
      <c r="V42" s="19">
        <f>TRANSICAO!$V$42*CUSTOS!$T$3</f>
        <v>0</v>
      </c>
      <c r="W42" s="19">
        <f>TRANSICAO!$W$42*CUSTOS!$T$3</f>
        <v>0</v>
      </c>
      <c r="X42" s="19">
        <f>TRANSICAO!$X$42*CUSTOS!$T$3</f>
        <v>0</v>
      </c>
      <c r="Y42" s="19">
        <f>TRANSICAO!$Y$42*CUSTOS!$T$3</f>
        <v>253.9836</v>
      </c>
      <c r="Z42" s="19">
        <f>TRANSICAO!$Z$42*CUSTOS!$T$3</f>
        <v>0</v>
      </c>
      <c r="AA42" s="19">
        <f>TRANSICAO!$AA$42*CUSTOS!$T$3</f>
        <v>0</v>
      </c>
      <c r="AB42" s="19">
        <f>TRANSICAO!$AB$42*CUSTOS!$T$3</f>
        <v>0</v>
      </c>
      <c r="AC42" s="19">
        <f>TRANSICAO!$AC$42*CUSTOS!$T$3</f>
        <v>458.23689999999999</v>
      </c>
      <c r="AD42" s="19">
        <f>TRANSICAO!$AD$42*CUSTOS!$T$3</f>
        <v>0</v>
      </c>
      <c r="AE42" s="19">
        <v>0</v>
      </c>
      <c r="AF42" s="19">
        <v>0</v>
      </c>
      <c r="AG42" s="19"/>
      <c r="AH42" s="19">
        <f>(1 - CUSTOS!$M$28)*19.3173</f>
        <v>19.317299999999999</v>
      </c>
      <c r="AI42" s="19">
        <v>0</v>
      </c>
      <c r="AJ42" s="19">
        <f ca="1">$N$64*(1-CUSTOS!$M$28)</f>
        <v>2.4535452432851668</v>
      </c>
      <c r="AK42" s="19">
        <f t="shared" ca="1" si="0"/>
        <v>2.4535452432851668</v>
      </c>
      <c r="AL42" s="19"/>
      <c r="AM42" s="19"/>
      <c r="AP42" s="19">
        <f>IF((1 - CUSTOS!$M$28)&lt;&gt;0,1/(1 - CUSTOS!$M$28),1)</f>
        <v>1</v>
      </c>
    </row>
    <row r="43" spans="1:42" ht="11.25" customHeight="1" x14ac:dyDescent="0.3">
      <c r="A43" s="125"/>
      <c r="B43" s="125"/>
      <c r="C43" s="125"/>
      <c r="D43" s="22" t="s">
        <v>85</v>
      </c>
      <c r="E43" s="22" t="s">
        <v>25</v>
      </c>
      <c r="F43" s="22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19">
        <f>1*(1 - CUSTOS!$M$29)</f>
        <v>1</v>
      </c>
      <c r="M4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2.4939365155900171</v>
      </c>
      <c r="N43" s="19">
        <f ca="1">(+M43+O43+R43+U43+V43+W43+X43+Y43+Z43+AA43+AC43+AH43+AI43+AJ43+AK43)*CUSTOS!$M$5</f>
        <v>7.4093882700216038E-12</v>
      </c>
      <c r="O43" s="19">
        <f>1 - CUSTOS!$M$29</f>
        <v>1</v>
      </c>
      <c r="P43" s="19">
        <f>1 - CUSTOS!$M$29</f>
        <v>1</v>
      </c>
      <c r="Q43" s="19">
        <f>1*(1 - CUSTOS!$M$29)</f>
        <v>1</v>
      </c>
      <c r="R43" s="19">
        <f>1 - CUSTOS!$M$29</f>
        <v>1</v>
      </c>
      <c r="S43" s="19">
        <f>1 - CUSTOS!$M$29</f>
        <v>1</v>
      </c>
      <c r="T43" s="19"/>
      <c r="U43" s="19">
        <f>TRANSICAO!$U$43*CUSTOS!$T$3</f>
        <v>0</v>
      </c>
      <c r="V43" s="19">
        <f>TRANSICAO!$V$43*CUSTOS!$T$3</f>
        <v>0</v>
      </c>
      <c r="W43" s="19">
        <f>TRANSICAO!$W$43*CUSTOS!$T$3</f>
        <v>0</v>
      </c>
      <c r="X43" s="19">
        <f>TRANSICAO!$X$43*CUSTOS!$T$3</f>
        <v>0</v>
      </c>
      <c r="Y43" s="19">
        <f>TRANSICAO!$Y$43*CUSTOS!$T$3</f>
        <v>253.9836</v>
      </c>
      <c r="Z43" s="19">
        <f>TRANSICAO!$Z$43*CUSTOS!$T$3</f>
        <v>0</v>
      </c>
      <c r="AA43" s="19">
        <f>TRANSICAO!$AA$43*CUSTOS!$T$3</f>
        <v>0</v>
      </c>
      <c r="AB43" s="19">
        <f>TRANSICAO!$AB$43*CUSTOS!$T$3</f>
        <v>0</v>
      </c>
      <c r="AC43" s="19">
        <f>TRANSICAO!$AC$43*CUSTOS!$T$3</f>
        <v>458.23689999999999</v>
      </c>
      <c r="AD43" s="19">
        <f>TRANSICAO!$AD$43*CUSTOS!$T$3</f>
        <v>0</v>
      </c>
      <c r="AE43" s="19">
        <v>0</v>
      </c>
      <c r="AF43" s="19">
        <v>0</v>
      </c>
      <c r="AG43" s="19"/>
      <c r="AH43" s="19">
        <f>(1 - CUSTOS!$M$29)*19.3173</f>
        <v>19.317299999999999</v>
      </c>
      <c r="AI43" s="19">
        <v>0</v>
      </c>
      <c r="AJ43" s="19">
        <f ca="1">$N$64*(1-CUSTOS!$M$29)</f>
        <v>2.4535452432851668</v>
      </c>
      <c r="AK43" s="19">
        <f t="shared" ca="1" si="0"/>
        <v>2.4535452432851668</v>
      </c>
      <c r="AL43" s="19"/>
      <c r="AM43" s="19"/>
      <c r="AP43" s="19">
        <f>IF((1 - CUSTOS!$M$29)&lt;&gt;0,1/(1 - CUSTOS!$M$29),1)</f>
        <v>1</v>
      </c>
    </row>
    <row r="44" spans="1:42" ht="11.25" customHeight="1" x14ac:dyDescent="0.3">
      <c r="A44" s="125"/>
      <c r="B44" s="125"/>
      <c r="C44" s="125"/>
      <c r="D44" s="22" t="s">
        <v>86</v>
      </c>
      <c r="E44" s="22" t="s">
        <v>25</v>
      </c>
      <c r="F44" s="22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19">
        <f>1*(1 - CUSTOS!$M$30)</f>
        <v>1</v>
      </c>
      <c r="M4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2.4939365155900171</v>
      </c>
      <c r="N44" s="19">
        <f ca="1">(+M44+O44+R44+U44+V44+W44+X44+Y44+Z44+AA44+AC44+AH44+AI44+AJ44+AK44)*CUSTOS!$M$5</f>
        <v>7.4093882700216038E-12</v>
      </c>
      <c r="O44" s="19">
        <f>1 - CUSTOS!$M$30</f>
        <v>1</v>
      </c>
      <c r="P44" s="19">
        <f>1 - CUSTOS!$M$30</f>
        <v>1</v>
      </c>
      <c r="Q44" s="19">
        <f>1*(1 - CUSTOS!$M$30)</f>
        <v>1</v>
      </c>
      <c r="R44" s="19">
        <f>1 - CUSTOS!$M$30</f>
        <v>1</v>
      </c>
      <c r="S44" s="19">
        <f>1 - CUSTOS!$M$30</f>
        <v>1</v>
      </c>
      <c r="T44" s="19"/>
      <c r="U44" s="19">
        <f>TRANSICAO!$U$44*CUSTOS!$T$3</f>
        <v>0</v>
      </c>
      <c r="V44" s="19">
        <f>TRANSICAO!$V$44*CUSTOS!$T$3</f>
        <v>0</v>
      </c>
      <c r="W44" s="19">
        <f>TRANSICAO!$W$44*CUSTOS!$T$3</f>
        <v>0</v>
      </c>
      <c r="X44" s="19">
        <f>TRANSICAO!$X$44*CUSTOS!$T$3</f>
        <v>0</v>
      </c>
      <c r="Y44" s="19">
        <f>TRANSICAO!$Y$44*CUSTOS!$T$3</f>
        <v>253.9836</v>
      </c>
      <c r="Z44" s="19">
        <f>TRANSICAO!$Z$44*CUSTOS!$T$3</f>
        <v>0</v>
      </c>
      <c r="AA44" s="19">
        <f>TRANSICAO!$AA$44*CUSTOS!$T$3</f>
        <v>0</v>
      </c>
      <c r="AB44" s="19">
        <f>TRANSICAO!$AB$44*CUSTOS!$T$3</f>
        <v>0</v>
      </c>
      <c r="AC44" s="19">
        <f>TRANSICAO!$AC$44*CUSTOS!$T$3</f>
        <v>458.23689999999999</v>
      </c>
      <c r="AD44" s="19">
        <f>TRANSICAO!$AD$44*CUSTOS!$T$3</f>
        <v>0</v>
      </c>
      <c r="AE44" s="19">
        <v>0</v>
      </c>
      <c r="AF44" s="19">
        <v>0</v>
      </c>
      <c r="AG44" s="19"/>
      <c r="AH44" s="19">
        <f>(1 - CUSTOS!$M$30)*19.3173</f>
        <v>19.317299999999999</v>
      </c>
      <c r="AI44" s="19">
        <v>0</v>
      </c>
      <c r="AJ44" s="19">
        <f ca="1">$N$64*(1-CUSTOS!$M$30)</f>
        <v>2.4535452432851668</v>
      </c>
      <c r="AK44" s="19">
        <f t="shared" ca="1" si="0"/>
        <v>2.4535452432851668</v>
      </c>
      <c r="AL44" s="19"/>
      <c r="AM44" s="19"/>
      <c r="AP44" s="19">
        <f>IF((1 - CUSTOS!$M$30)&lt;&gt;0,1/(1 - CUSTOS!$M$30),1)</f>
        <v>1</v>
      </c>
    </row>
    <row r="45" spans="1:42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19">
        <f>1*(1 - CUSTOS!$M$31)</f>
        <v>1</v>
      </c>
      <c r="M4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2.4939365155900171</v>
      </c>
      <c r="N45" s="19">
        <f ca="1">(+M45+O45+R45+U45+V45+W45+X45+Y45+Z45+AA45+AC45+AH45+AI45+AJ45+AK45)*CUSTOS!$M$5</f>
        <v>2.4502661270021602E-11</v>
      </c>
      <c r="O45" s="19">
        <f>1 - CUSTOS!$M$31</f>
        <v>1</v>
      </c>
      <c r="P45" s="19">
        <f>1 - CUSTOS!$M$31</f>
        <v>1</v>
      </c>
      <c r="Q45" s="19">
        <f>1*(1 - CUSTOS!$M$31)</f>
        <v>1</v>
      </c>
      <c r="R45" s="19">
        <f>1 - CUSTOS!$M$31</f>
        <v>1</v>
      </c>
      <c r="S45" s="19">
        <f>1 - CUSTOS!$M$31</f>
        <v>1</v>
      </c>
      <c r="T45" s="19"/>
      <c r="U45" s="19">
        <f>TRANSICAO!$U$45*CUSTOS!$T$3</f>
        <v>0</v>
      </c>
      <c r="V45" s="19">
        <f>TRANSICAO!$V$45*CUSTOS!$T$3</f>
        <v>0</v>
      </c>
      <c r="W45" s="19">
        <f>TRANSICAO!$W$45*CUSTOS!$T$3</f>
        <v>0</v>
      </c>
      <c r="X45" s="19">
        <f>TRANSICAO!$X$45*CUSTOS!$T$3</f>
        <v>0</v>
      </c>
      <c r="Y45" s="19">
        <f>TRANSICAO!$Y$45*CUSTOS!$T$3</f>
        <v>863.54229999999995</v>
      </c>
      <c r="Z45" s="19">
        <f>TRANSICAO!$Z$45*CUSTOS!$T$3</f>
        <v>0</v>
      </c>
      <c r="AA45" s="19">
        <f>TRANSICAO!$AA$45*CUSTOS!$T$3</f>
        <v>0</v>
      </c>
      <c r="AB45" s="19">
        <f>TRANSICAO!$AB$45*CUSTOS!$T$3</f>
        <v>0</v>
      </c>
      <c r="AC45" s="19">
        <f>TRANSICAO!$AC$45*CUSTOS!$T$3</f>
        <v>1558.0055</v>
      </c>
      <c r="AD45" s="19">
        <f>TRANSICAO!$AD$45*CUSTOS!$T$3</f>
        <v>0</v>
      </c>
      <c r="AE45" s="19">
        <v>0</v>
      </c>
      <c r="AF45" s="19">
        <v>0</v>
      </c>
      <c r="AG45" s="19"/>
      <c r="AH45" s="19">
        <f>(1 - CUSTOS!$M$31)*19.3173</f>
        <v>19.317299999999999</v>
      </c>
      <c r="AI45" s="19">
        <v>0</v>
      </c>
      <c r="AJ45" s="19">
        <f ca="1">$N$64*(1-CUSTOS!$M$31)</f>
        <v>2.4535452432851668</v>
      </c>
      <c r="AK45" s="19">
        <f t="shared" ca="1" si="0"/>
        <v>2.4535452432851668</v>
      </c>
      <c r="AL45" s="19"/>
      <c r="AM45" s="19"/>
      <c r="AP45" s="19">
        <f>IF((1 - CUSTOS!$M$31)&lt;&gt;0,1/(1 - CUSTOS!$M$31),1)</f>
        <v>1</v>
      </c>
    </row>
    <row r="46" spans="1:42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19">
        <f>1*(1 - CUSTOS!$M$31)</f>
        <v>1</v>
      </c>
      <c r="M4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2.4939365155900171</v>
      </c>
      <c r="N46" s="19">
        <f ca="1">(+M46+O46+R46+U46+V46+W46+X46+Y46+Z46+AA46+AC46+AH46+AI46+AJ46+AK46)*CUSTOS!$M$5</f>
        <v>1.4816475270021603E-11</v>
      </c>
      <c r="O46" s="19">
        <f>1 - CUSTOS!$M$31</f>
        <v>1</v>
      </c>
      <c r="P46" s="19">
        <f>1 - CUSTOS!$M$31</f>
        <v>1</v>
      </c>
      <c r="Q46" s="19">
        <f>1*(1 - CUSTOS!$M$31)</f>
        <v>1</v>
      </c>
      <c r="R46" s="19">
        <f>1 - CUSTOS!$M$31</f>
        <v>1</v>
      </c>
      <c r="S46" s="19">
        <f>1 - CUSTOS!$M$31</f>
        <v>1</v>
      </c>
      <c r="T46" s="19"/>
      <c r="U46" s="19">
        <f>TRANSICAO!$U$46*CUSTOS!$T$3</f>
        <v>0</v>
      </c>
      <c r="V46" s="19">
        <f>TRANSICAO!$V$46*CUSTOS!$T$3</f>
        <v>0</v>
      </c>
      <c r="W46" s="19">
        <f>TRANSICAO!$W$46*CUSTOS!$T$3</f>
        <v>0</v>
      </c>
      <c r="X46" s="19">
        <f>TRANSICAO!$X$46*CUSTOS!$T$3</f>
        <v>0</v>
      </c>
      <c r="Y46" s="19">
        <f>TRANSICAO!$Y$46*CUSTOS!$T$3</f>
        <v>518.12599999999998</v>
      </c>
      <c r="Z46" s="19">
        <f>TRANSICAO!$Z$46*CUSTOS!$T$3</f>
        <v>0</v>
      </c>
      <c r="AA46" s="19">
        <f>TRANSICAO!$AA$46*CUSTOS!$T$3</f>
        <v>0</v>
      </c>
      <c r="AB46" s="19">
        <f>TRANSICAO!$AB$46*CUSTOS!$T$3</f>
        <v>0</v>
      </c>
      <c r="AC46" s="19">
        <f>TRANSICAO!$AC$46*CUSTOS!$T$3</f>
        <v>934.80319999999995</v>
      </c>
      <c r="AD46" s="19">
        <f>TRANSICAO!$AD$46*CUSTOS!$T$3</f>
        <v>0</v>
      </c>
      <c r="AE46" s="19">
        <v>0</v>
      </c>
      <c r="AF46" s="19">
        <v>0</v>
      </c>
      <c r="AG46" s="19"/>
      <c r="AH46" s="19">
        <f>(1 - CUSTOS!$M$31)*19.3173</f>
        <v>19.317299999999999</v>
      </c>
      <c r="AI46" s="19">
        <v>0</v>
      </c>
      <c r="AJ46" s="19">
        <f ca="1">$N$64*(1-CUSTOS!$M$31)</f>
        <v>2.4535452432851668</v>
      </c>
      <c r="AK46" s="19">
        <f t="shared" ca="1" si="0"/>
        <v>2.4535452432851668</v>
      </c>
      <c r="AL46" s="19"/>
      <c r="AM46" s="19"/>
      <c r="AP46" s="19">
        <f>IF((1 - CUSTOS!$M$31)&lt;&gt;0,1/(1 - CUSTOS!$M$31),1)</f>
        <v>1</v>
      </c>
    </row>
    <row r="47" spans="1:42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19">
        <f>1*(1 - CUSTOS!$M$31)</f>
        <v>1</v>
      </c>
      <c r="M4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2.4939365155900171</v>
      </c>
      <c r="N47" s="19">
        <f ca="1">(+M47+O47+R47+U47+V47+W47+X47+Y47+Z47+AA47+AC47+AH47+AI47+AJ47+AK47)*CUSTOS!$M$5</f>
        <v>5.1302912700216033E-12</v>
      </c>
      <c r="O47" s="19">
        <f>1 - CUSTOS!$M$31</f>
        <v>1</v>
      </c>
      <c r="P47" s="19">
        <f>1 - CUSTOS!$M$31</f>
        <v>1</v>
      </c>
      <c r="Q47" s="19">
        <f>1*(1 - CUSTOS!$M$31)</f>
        <v>1</v>
      </c>
      <c r="R47" s="19">
        <f>1 - CUSTOS!$M$31</f>
        <v>1</v>
      </c>
      <c r="S47" s="19">
        <f>1 - CUSTOS!$M$31</f>
        <v>1</v>
      </c>
      <c r="T47" s="19"/>
      <c r="U47" s="19">
        <f>TRANSICAO!$U$47*CUSTOS!$T$3</f>
        <v>0</v>
      </c>
      <c r="V47" s="19">
        <f>TRANSICAO!$V$47*CUSTOS!$T$3</f>
        <v>0</v>
      </c>
      <c r="W47" s="19">
        <f>TRANSICAO!$W$47*CUSTOS!$T$3</f>
        <v>0</v>
      </c>
      <c r="X47" s="19">
        <f>TRANSICAO!$X$47*CUSTOS!$T$3</f>
        <v>0</v>
      </c>
      <c r="Y47" s="19">
        <f>TRANSICAO!$Y$47*CUSTOS!$T$3</f>
        <v>172.7097</v>
      </c>
      <c r="Z47" s="19">
        <f>TRANSICAO!$Z$47*CUSTOS!$T$3</f>
        <v>0</v>
      </c>
      <c r="AA47" s="19">
        <f>TRANSICAO!$AA$47*CUSTOS!$T$3</f>
        <v>0</v>
      </c>
      <c r="AB47" s="19">
        <f>TRANSICAO!$AB$47*CUSTOS!$T$3</f>
        <v>0</v>
      </c>
      <c r="AC47" s="19">
        <f>TRANSICAO!$AC$47*CUSTOS!$T$3</f>
        <v>311.60109999999997</v>
      </c>
      <c r="AD47" s="19">
        <f>TRANSICAO!$AD$47*CUSTOS!$T$3</f>
        <v>0</v>
      </c>
      <c r="AE47" s="19">
        <v>0</v>
      </c>
      <c r="AF47" s="19">
        <v>0</v>
      </c>
      <c r="AG47" s="19"/>
      <c r="AH47" s="19">
        <f>(1 - CUSTOS!$M$31)*19.3173</f>
        <v>19.317299999999999</v>
      </c>
      <c r="AI47" s="19">
        <v>0</v>
      </c>
      <c r="AJ47" s="19">
        <f ca="1">$N$64*(1-CUSTOS!$M$31)</f>
        <v>2.4535452432851668</v>
      </c>
      <c r="AK47" s="19">
        <f t="shared" ca="1" si="0"/>
        <v>2.4535452432851668</v>
      </c>
      <c r="AL47" s="19"/>
      <c r="AM47" s="19"/>
      <c r="AP47" s="19">
        <f>IF((1 - CUSTOS!$M$31)&lt;&gt;0,1/(1 - CUSTOS!$M$31),1)</f>
        <v>1</v>
      </c>
    </row>
    <row r="48" spans="1:42" ht="11.25" customHeight="1" x14ac:dyDescent="0.3">
      <c r="A48" s="125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19">
        <f>1*(1 - CUSTOS!$M$31)</f>
        <v>1</v>
      </c>
      <c r="M4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2.4939365155900171</v>
      </c>
      <c r="N48" s="19">
        <f ca="1">(+M48+O48+R48+U48+V48+W48+X48+Y48+Z48+AA48+AC48+AH48+AI48+AJ48+AK48)*CUSTOS!$M$5</f>
        <v>7.4093882700216038E-12</v>
      </c>
      <c r="O48" s="19">
        <f>1 - CUSTOS!$M$31</f>
        <v>1</v>
      </c>
      <c r="P48" s="19">
        <f>1 - CUSTOS!$M$31</f>
        <v>1</v>
      </c>
      <c r="Q48" s="19">
        <f>1*(1 - CUSTOS!$M$31)</f>
        <v>1</v>
      </c>
      <c r="R48" s="19">
        <f>1 - CUSTOS!$M$31</f>
        <v>1</v>
      </c>
      <c r="S48" s="19">
        <f>1 - CUSTOS!$M$31</f>
        <v>1</v>
      </c>
      <c r="T48" s="19"/>
      <c r="U48" s="19">
        <f>TRANSICAO!$U$48*CUSTOS!$T$3</f>
        <v>0</v>
      </c>
      <c r="V48" s="19">
        <f>TRANSICAO!$V$48*CUSTOS!$T$3</f>
        <v>0</v>
      </c>
      <c r="W48" s="19">
        <f>TRANSICAO!$W$48*CUSTOS!$T$3</f>
        <v>0</v>
      </c>
      <c r="X48" s="19">
        <f>TRANSICAO!$X$48*CUSTOS!$T$3</f>
        <v>0</v>
      </c>
      <c r="Y48" s="19">
        <f>TRANSICAO!$Y$48*CUSTOS!$T$3</f>
        <v>253.9836</v>
      </c>
      <c r="Z48" s="19">
        <f>TRANSICAO!$Z$48*CUSTOS!$T$3</f>
        <v>0</v>
      </c>
      <c r="AA48" s="19">
        <f>TRANSICAO!$AA$48*CUSTOS!$T$3</f>
        <v>0</v>
      </c>
      <c r="AB48" s="19">
        <f>TRANSICAO!$AB$48*CUSTOS!$T$3</f>
        <v>0</v>
      </c>
      <c r="AC48" s="19">
        <f>TRANSICAO!$AC$48*CUSTOS!$T$3</f>
        <v>458.23689999999999</v>
      </c>
      <c r="AD48" s="19">
        <f>TRANSICAO!$AD$48*CUSTOS!$T$3</f>
        <v>0</v>
      </c>
      <c r="AE48" s="19">
        <v>0</v>
      </c>
      <c r="AF48" s="19">
        <v>0</v>
      </c>
      <c r="AG48" s="19"/>
      <c r="AH48" s="19">
        <f>(1 - CUSTOS!$M$31)*19.3173</f>
        <v>19.317299999999999</v>
      </c>
      <c r="AI48" s="19">
        <v>0</v>
      </c>
      <c r="AJ48" s="19">
        <f ca="1">$N$64*(1-CUSTOS!$M$31)</f>
        <v>2.4535452432851668</v>
      </c>
      <c r="AK48" s="19">
        <f t="shared" ca="1" si="0"/>
        <v>2.4535452432851668</v>
      </c>
      <c r="AL48" s="19"/>
      <c r="AM48" s="19"/>
      <c r="AP48" s="19">
        <f>IF((1 - CUSTOS!$M$31)&lt;&gt;0,1/(1 - CUSTOS!$M$31),1)</f>
        <v>1</v>
      </c>
    </row>
    <row r="49" spans="1:42" ht="11.25" customHeight="1" x14ac:dyDescent="0.3">
      <c r="A49" s="125"/>
      <c r="B49" s="22" t="s">
        <v>84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19">
        <f>1*(1 - CUSTOS!$M$31)</f>
        <v>1</v>
      </c>
      <c r="M4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2.4939365155900171</v>
      </c>
      <c r="N49" s="19">
        <f ca="1">(+M49+O49+R49+U49+V49+W49+X49+Y49+Z49+AA49+AC49+AH49+AI49+AJ49+AK49)*CUSTOS!$M$5</f>
        <v>7.4093882700216038E-12</v>
      </c>
      <c r="O49" s="19">
        <f>1 - CUSTOS!$M$31</f>
        <v>1</v>
      </c>
      <c r="P49" s="19">
        <f>1 - CUSTOS!$M$31</f>
        <v>1</v>
      </c>
      <c r="Q49" s="19">
        <f>1*(1 - CUSTOS!$M$31)</f>
        <v>1</v>
      </c>
      <c r="R49" s="19">
        <f>1 - CUSTOS!$M$31</f>
        <v>1</v>
      </c>
      <c r="S49" s="19">
        <f>1 - CUSTOS!$M$31</f>
        <v>1</v>
      </c>
      <c r="T49" s="19"/>
      <c r="U49" s="19">
        <f>TRANSICAO!$U$49*CUSTOS!$T$3</f>
        <v>0</v>
      </c>
      <c r="V49" s="19">
        <f>TRANSICAO!$V$49*CUSTOS!$T$3</f>
        <v>0</v>
      </c>
      <c r="W49" s="19">
        <f>TRANSICAO!$W$49*CUSTOS!$T$3</f>
        <v>0</v>
      </c>
      <c r="X49" s="19">
        <f>TRANSICAO!$X$49*CUSTOS!$T$3</f>
        <v>0</v>
      </c>
      <c r="Y49" s="19">
        <f>TRANSICAO!$Y$49*CUSTOS!$T$3</f>
        <v>253.9836</v>
      </c>
      <c r="Z49" s="19">
        <f>TRANSICAO!$Z$49*CUSTOS!$T$3</f>
        <v>0</v>
      </c>
      <c r="AA49" s="19">
        <f>TRANSICAO!$AA$49*CUSTOS!$T$3</f>
        <v>0</v>
      </c>
      <c r="AB49" s="19">
        <f>TRANSICAO!$AB$49*CUSTOS!$T$3</f>
        <v>0</v>
      </c>
      <c r="AC49" s="19">
        <f>TRANSICAO!$AC$49*CUSTOS!$T$3</f>
        <v>458.23689999999999</v>
      </c>
      <c r="AD49" s="19">
        <f>TRANSICAO!$AD$49*CUSTOS!$T$3</f>
        <v>0</v>
      </c>
      <c r="AE49" s="19">
        <v>0</v>
      </c>
      <c r="AF49" s="19">
        <v>0</v>
      </c>
      <c r="AG49" s="19"/>
      <c r="AH49" s="19">
        <f>(1 - CUSTOS!$M$31)*19.3173</f>
        <v>19.317299999999999</v>
      </c>
      <c r="AI49" s="19">
        <v>0</v>
      </c>
      <c r="AJ49" s="19">
        <f ca="1">$N$64*(1-CUSTOS!$M$31)</f>
        <v>2.4535452432851668</v>
      </c>
      <c r="AK49" s="19">
        <f t="shared" ca="1" si="0"/>
        <v>2.4535452432851668</v>
      </c>
      <c r="AL49" s="19"/>
      <c r="AM49" s="19"/>
      <c r="AP49" s="19">
        <f>IF((1 - CUSTOS!$M$31)&lt;&gt;0,1/(1 - CUSTOS!$M$31),1)</f>
        <v>1</v>
      </c>
    </row>
    <row r="50" spans="1:42" ht="11.25" customHeight="1" x14ac:dyDescent="0.3">
      <c r="A50" s="125" t="s">
        <v>43</v>
      </c>
      <c r="B50" s="125" t="s">
        <v>23</v>
      </c>
      <c r="C50" s="125" t="s">
        <v>44</v>
      </c>
      <c r="D50" s="22" t="s">
        <v>45</v>
      </c>
      <c r="E50" s="22" t="s">
        <v>25</v>
      </c>
      <c r="F50" s="22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19">
        <f>1*(1 - CUSTOS!$M$32)</f>
        <v>0.53</v>
      </c>
      <c r="M5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1.3217863532627092</v>
      </c>
      <c r="N50" s="19">
        <f ca="1">(+M50+O50+R50+U50+V50+W50+X50+Y50+Z50+AA50+AC50+AH50+AI50+AJ50+AK50)*CUSTOS!$M$5</f>
        <v>3.9269757831114497E-12</v>
      </c>
      <c r="O50" s="19">
        <f>1 - CUSTOS!$M$32</f>
        <v>0.53</v>
      </c>
      <c r="P50" s="19">
        <f>1 - CUSTOS!$M$32</f>
        <v>0.53</v>
      </c>
      <c r="Q50" s="19">
        <f>1*(1 - CUSTOS!$M$32)</f>
        <v>0.53</v>
      </c>
      <c r="R50" s="19">
        <f>1 - CUSTOS!$M$32</f>
        <v>0.53</v>
      </c>
      <c r="S50" s="19">
        <f>1 - CUSTOS!$M$32</f>
        <v>0.53</v>
      </c>
      <c r="T50" s="19"/>
      <c r="U50" s="19">
        <f>TRANSICAO!$U$50*CUSTOS!$T$3</f>
        <v>0</v>
      </c>
      <c r="V50" s="19">
        <f>TRANSICAO!$V$50*CUSTOS!$T$3</f>
        <v>0</v>
      </c>
      <c r="W50" s="19">
        <f>TRANSICAO!$W$50*CUSTOS!$T$3</f>
        <v>0</v>
      </c>
      <c r="X50" s="19">
        <f>TRANSICAO!$X$50*CUSTOS!$T$3</f>
        <v>0</v>
      </c>
      <c r="Y50" s="19">
        <f>TRANSICAO!$Y$50*CUSTOS!$T$3</f>
        <v>134.61130800000001</v>
      </c>
      <c r="Z50" s="19">
        <f>TRANSICAO!$Z$50*CUSTOS!$T$3</f>
        <v>0</v>
      </c>
      <c r="AA50" s="19">
        <f>TRANSICAO!$AA$50*CUSTOS!$T$3</f>
        <v>0</v>
      </c>
      <c r="AB50" s="19">
        <f>TRANSICAO!$AB$50*CUSTOS!$T$3</f>
        <v>0</v>
      </c>
      <c r="AC50" s="19">
        <f>TRANSICAO!$AC$50*CUSTOS!$T$3</f>
        <v>242.865557</v>
      </c>
      <c r="AD50" s="19">
        <f>TRANSICAO!$AD$50*CUSTOS!$T$3</f>
        <v>0</v>
      </c>
      <c r="AE50" s="19">
        <v>0</v>
      </c>
      <c r="AF50" s="19">
        <v>0</v>
      </c>
      <c r="AG50" s="19"/>
      <c r="AH50" s="19">
        <f>(1 - CUSTOS!$M$32)*19.3173</f>
        <v>10.238169000000001</v>
      </c>
      <c r="AI50" s="19">
        <v>0</v>
      </c>
      <c r="AJ50" s="19">
        <f ca="1">$N$64*(1-CUSTOS!$M$32)</f>
        <v>1.3003789789411384</v>
      </c>
      <c r="AK50" s="19">
        <f t="shared" ca="1" si="0"/>
        <v>1.3003789789411384</v>
      </c>
      <c r="AL50" s="19"/>
      <c r="AM50" s="19"/>
      <c r="AP50" s="19">
        <f>IF((1 - CUSTOS!$M$32)&lt;&gt;0,1/(1 - CUSTOS!$M$32),1)</f>
        <v>1.8867924528301885</v>
      </c>
    </row>
    <row r="51" spans="1:42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19">
        <f>1*(1 - CUSTOS!$M$33)</f>
        <v>0.58000000000000007</v>
      </c>
      <c r="M5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1.4464831790422101</v>
      </c>
      <c r="N51" s="19">
        <f ca="1">(+M51+O51+R51+U51+V51+W51+X51+Y51+Z51+AA51+AC51+AH51+AI51+AJ51+AK51)*CUSTOS!$M$5</f>
        <v>4.2974451966125299E-12</v>
      </c>
      <c r="O51" s="19">
        <f>1 - CUSTOS!$M$33</f>
        <v>0.58000000000000007</v>
      </c>
      <c r="P51" s="19">
        <f>1 - CUSTOS!$M$33</f>
        <v>0.58000000000000007</v>
      </c>
      <c r="Q51" s="19">
        <f>1*(1 - CUSTOS!$M$33)</f>
        <v>0.58000000000000007</v>
      </c>
      <c r="R51" s="19">
        <f>1 - CUSTOS!$M$33</f>
        <v>0.58000000000000007</v>
      </c>
      <c r="S51" s="19">
        <f>1 - CUSTOS!$M$33</f>
        <v>0.58000000000000007</v>
      </c>
      <c r="T51" s="19"/>
      <c r="U51" s="19">
        <f>TRANSICAO!$U$51*CUSTOS!$T$3</f>
        <v>0</v>
      </c>
      <c r="V51" s="19">
        <f>TRANSICAO!$V$51*CUSTOS!$T$3</f>
        <v>0</v>
      </c>
      <c r="W51" s="19">
        <f>TRANSICAO!$W$51*CUSTOS!$T$3</f>
        <v>0</v>
      </c>
      <c r="X51" s="19">
        <f>TRANSICAO!$X$51*CUSTOS!$T$3</f>
        <v>0</v>
      </c>
      <c r="Y51" s="19">
        <f>TRANSICAO!$Y$51*CUSTOS!$T$3</f>
        <v>147.31048800000002</v>
      </c>
      <c r="Z51" s="19">
        <f>TRANSICAO!$Z$51*CUSTOS!$T$3</f>
        <v>0</v>
      </c>
      <c r="AA51" s="19">
        <f>TRANSICAO!$AA$51*CUSTOS!$T$3</f>
        <v>0</v>
      </c>
      <c r="AB51" s="19">
        <f>TRANSICAO!$AB$51*CUSTOS!$T$3</f>
        <v>0</v>
      </c>
      <c r="AC51" s="19">
        <f>TRANSICAO!$AC$51*CUSTOS!$T$3</f>
        <v>265.77740200000005</v>
      </c>
      <c r="AD51" s="19">
        <f>TRANSICAO!$AD$51*CUSTOS!$T$3</f>
        <v>0</v>
      </c>
      <c r="AE51" s="19">
        <v>0</v>
      </c>
      <c r="AF51" s="19">
        <v>0</v>
      </c>
      <c r="AG51" s="19"/>
      <c r="AH51" s="19">
        <f>(1 - CUSTOS!$M$33)*19.3173</f>
        <v>11.204034000000002</v>
      </c>
      <c r="AI51" s="19">
        <v>0</v>
      </c>
      <c r="AJ51" s="19">
        <f ca="1">$N$64*(1-CUSTOS!$M$33)</f>
        <v>1.4230562411053969</v>
      </c>
      <c r="AK51" s="19">
        <f t="shared" ca="1" si="0"/>
        <v>1.4230562411053969</v>
      </c>
      <c r="AL51" s="19"/>
      <c r="AM51" s="19"/>
      <c r="AP51" s="19">
        <f>IF((1 - CUSTOS!$M$33)&lt;&gt;0,1/(1 - CUSTOS!$M$33),1)</f>
        <v>1.7241379310344827</v>
      </c>
    </row>
    <row r="53" spans="1:42" ht="11.25" customHeight="1" x14ac:dyDescent="0.3">
      <c r="K53" s="18" t="s">
        <v>450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1:42" ht="11.25" customHeight="1" x14ac:dyDescent="0.3">
      <c r="K54" s="18" t="s">
        <v>451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1:42" ht="11.25" customHeight="1" x14ac:dyDescent="0.3">
      <c r="K55" s="18" t="s">
        <v>452</v>
      </c>
      <c r="L55" s="19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19310.535210000002</v>
      </c>
      <c r="M55" s="19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48034.671623106631</v>
      </c>
      <c r="N55" s="19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1.339873061457538E-7</v>
      </c>
      <c r="O55" s="19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19937.936530000006</v>
      </c>
      <c r="P55" s="19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19740.415530000006</v>
      </c>
      <c r="Q55" s="19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19310.535210000002</v>
      </c>
      <c r="R55" s="19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19740.415530000006</v>
      </c>
      <c r="S55" s="19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19937.936530000006</v>
      </c>
      <c r="T55" s="19"/>
      <c r="U55" s="19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9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9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9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9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4882703.9480113089</v>
      </c>
      <c r="Z55" s="19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9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9"/>
      <c r="AC55" s="19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8825909.9137024935</v>
      </c>
      <c r="AD55" s="19"/>
      <c r="AE55" s="19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9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9"/>
      <c r="AH55" s="19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357240.34565736901</v>
      </c>
      <c r="AI55" s="19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9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47402.783060617709</v>
      </c>
      <c r="AK55" s="19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47402.783060617709</v>
      </c>
      <c r="AL55" s="19"/>
      <c r="AM55" s="19"/>
    </row>
    <row r="56" spans="1:42" ht="11.25" customHeight="1" x14ac:dyDescent="0.3">
      <c r="K56" s="18" t="s">
        <v>388</v>
      </c>
      <c r="L56" s="19">
        <f>CUSTOS!$D$2</f>
        <v>940401.95930646476</v>
      </c>
      <c r="M56" s="19">
        <f>CUSTOS!$D$3</f>
        <v>48815.20758835032</v>
      </c>
      <c r="N56" s="19">
        <f>CUSTOS!$D$4</f>
        <v>0</v>
      </c>
      <c r="O56" s="19">
        <f>CUSTOS!$D$5</f>
        <v>0</v>
      </c>
      <c r="P56" s="19">
        <f>CUSTOS!$D$6</f>
        <v>0</v>
      </c>
      <c r="Q56" s="19">
        <f>CUSTOS!$D$7</f>
        <v>1670551.4433299995</v>
      </c>
      <c r="R56" s="19">
        <f>CUSTOS!$D$8</f>
        <v>283354.38656999997</v>
      </c>
      <c r="S56" s="19">
        <f>CUSTOS!$D$9</f>
        <v>0</v>
      </c>
      <c r="T56" s="19">
        <f>CUSTOS!$D$10</f>
        <v>2943122.9967948147</v>
      </c>
      <c r="U56" s="19">
        <f>CUSTOS!$D$11</f>
        <v>0</v>
      </c>
      <c r="V56" s="19">
        <f>IF(SUM(V53:V55)&lt;&gt;0,CUSTOS!$D$12+CUSTOS!$D$16+CUSTOS!$D$17-'TR TUSD'!$Z$54-'TR TUSD'!$AA$54,0)</f>
        <v>0</v>
      </c>
      <c r="W56" s="19">
        <f>CUSTOS!$D$13</f>
        <v>0</v>
      </c>
      <c r="X56" s="19">
        <f>CUSTOS!$D$14</f>
        <v>0</v>
      </c>
      <c r="Y56" s="19">
        <f>IF(SUM(V53:V55)=0,CUSTOS!$D$15+CUSTOS!$D$16+CUSTOS!$D$17-'TR TUSD'!$Z$54-'TR TUSD'!$AA$54,CUSTOS!$D$15)</f>
        <v>5653993.3905727211</v>
      </c>
      <c r="Z56" s="19">
        <f>Z54</f>
        <v>0</v>
      </c>
      <c r="AA56" s="19">
        <f>AA54</f>
        <v>0</v>
      </c>
      <c r="AB56" s="19">
        <f>CUSTOS!$D$18</f>
        <v>5653993.3905727211</v>
      </c>
      <c r="AC56" s="19">
        <f>CUSTOS!$D$19</f>
        <v>9779497.2699999996</v>
      </c>
      <c r="AD56" s="19">
        <f>CUSTOS!$D$20</f>
        <v>9779497.2699999996</v>
      </c>
      <c r="AE56" s="19">
        <f>CUSTOS!$D$21</f>
        <v>0</v>
      </c>
      <c r="AF56" s="19">
        <f>CUSTOS!$D$22</f>
        <v>0</v>
      </c>
      <c r="AG56" s="19">
        <f>CUSTOS!$D$23</f>
        <v>0</v>
      </c>
      <c r="AH56" s="19">
        <f>CUSTOS!$D$24</f>
        <v>337619.91186636908</v>
      </c>
      <c r="AI56" s="19">
        <f>CUSTOS!$D$25</f>
        <v>0</v>
      </c>
      <c r="AJ56" s="19">
        <f>CUSTOS!$D$26</f>
        <v>48170.677629210666</v>
      </c>
      <c r="AK56" s="19">
        <f>CUSTOS!$D$27</f>
        <v>0</v>
      </c>
      <c r="AL56" s="19">
        <f>CUSTOS!$D$28</f>
        <v>385790.58949557971</v>
      </c>
      <c r="AM56" s="19">
        <f>CUSTOS!$D$29</f>
        <v>18762404.246863116</v>
      </c>
    </row>
    <row r="57" spans="1:42" ht="11.25" customHeight="1" x14ac:dyDescent="0.3">
      <c r="K57" s="18" t="s">
        <v>389</v>
      </c>
      <c r="L57" s="19">
        <f>CUSTOS!$E$2</f>
        <v>0</v>
      </c>
      <c r="M57" s="19">
        <f>CUSTOS!$E$3</f>
        <v>-3035.8732116039228</v>
      </c>
      <c r="N57" s="19">
        <f>CUSTOS!$E$4</f>
        <v>0</v>
      </c>
      <c r="O57" s="19">
        <f>CUSTOS!$E$5</f>
        <v>0</v>
      </c>
      <c r="P57" s="19">
        <f>CUSTOS!$E$6</f>
        <v>0</v>
      </c>
      <c r="Q57" s="19">
        <f>CUSTOS!$E$7</f>
        <v>-144857.12853692571</v>
      </c>
      <c r="R57" s="19">
        <f>CUSTOS!$E$8</f>
        <v>-12708.347033321957</v>
      </c>
      <c r="S57" s="19">
        <f>CUSTOS!$E$9</f>
        <v>0</v>
      </c>
      <c r="T57" s="19">
        <f>CUSTOS!$E$10</f>
        <v>-160601.34878185159</v>
      </c>
      <c r="U57" s="19">
        <f>CUSTOS!$E$11</f>
        <v>0</v>
      </c>
      <c r="V57" s="19">
        <f>CUSTOS!$E$12</f>
        <v>0</v>
      </c>
      <c r="W57" s="19">
        <f>CUSTOS!$E$13</f>
        <v>0</v>
      </c>
      <c r="X57" s="19">
        <f>CUSTOS!$E$14</f>
        <v>0</v>
      </c>
      <c r="Y57" s="19">
        <f>CUSTOS!$E$15</f>
        <v>1764642.8512380794</v>
      </c>
      <c r="Z57" s="19">
        <f>CUSTOS!$E$16</f>
        <v>0</v>
      </c>
      <c r="AA57" s="19">
        <f>CUSTOS!$E$17</f>
        <v>0</v>
      </c>
      <c r="AB57" s="19">
        <f>CUSTOS!$E$18</f>
        <v>1764642.8512380794</v>
      </c>
      <c r="AC57" s="19">
        <f>CUSTOS!$E$19</f>
        <v>-320580.44753324438</v>
      </c>
      <c r="AD57" s="19">
        <f>CUSTOS!$E$20</f>
        <v>-320580.44753324438</v>
      </c>
      <c r="AE57" s="19">
        <f>CUSTOS!$E$21</f>
        <v>0</v>
      </c>
      <c r="AF57" s="19">
        <f>CUSTOS!$E$22</f>
        <v>0</v>
      </c>
      <c r="AG57" s="19">
        <f>CUSTOS!$E$23</f>
        <v>0</v>
      </c>
      <c r="AH57" s="19">
        <f>CUSTOS!$E$24</f>
        <v>80207.561574186955</v>
      </c>
      <c r="AI57" s="19">
        <f>CUSTOS!$E$25</f>
        <v>0</v>
      </c>
      <c r="AJ57" s="19">
        <f>CUSTOS!$E$26</f>
        <v>11443.793615894519</v>
      </c>
      <c r="AK57" s="19">
        <f>CUSTOS!$E$27</f>
        <v>0</v>
      </c>
      <c r="AL57" s="19">
        <f>CUSTOS!$E$28</f>
        <v>91651.355190081478</v>
      </c>
      <c r="AM57" s="19">
        <f>CUSTOS!$E$29</f>
        <v>1375112.410113065</v>
      </c>
    </row>
    <row r="58" spans="1:42" ht="11.25" customHeight="1" x14ac:dyDescent="0.3">
      <c r="K58" s="18" t="s">
        <v>390</v>
      </c>
      <c r="L58" s="19">
        <f>CUSTOS!$F$2</f>
        <v>0</v>
      </c>
      <c r="M58" s="19">
        <f>CUSTOS!$F$3</f>
        <v>0</v>
      </c>
      <c r="N58" s="19">
        <f>CUSTOS!$F$4</f>
        <v>0</v>
      </c>
      <c r="O58" s="19">
        <f>CUSTOS!$F$5</f>
        <v>0</v>
      </c>
      <c r="P58" s="19">
        <f>CUSTOS!$F$6</f>
        <v>0</v>
      </c>
      <c r="Q58" s="19">
        <f>CUSTOS!$F$7</f>
        <v>0</v>
      </c>
      <c r="R58" s="19">
        <f>CUSTOS!$F$8</f>
        <v>0</v>
      </c>
      <c r="S58" s="19">
        <f>CUSTOS!$F$9</f>
        <v>0</v>
      </c>
      <c r="T58" s="19">
        <f>CUSTOS!$F$10</f>
        <v>0</v>
      </c>
      <c r="U58" s="19">
        <f>CUSTOS!$F$11</f>
        <v>0</v>
      </c>
      <c r="V58" s="19">
        <f>CUSTOS!$F$12</f>
        <v>0</v>
      </c>
      <c r="W58" s="19">
        <f>CUSTOS!$F$13</f>
        <v>0</v>
      </c>
      <c r="X58" s="19">
        <f>CUSTOS!$F$14</f>
        <v>0</v>
      </c>
      <c r="Y58" s="19">
        <f>CUSTOS!$F$15</f>
        <v>0</v>
      </c>
      <c r="Z58" s="19">
        <f>CUSTOS!$F$16</f>
        <v>0</v>
      </c>
      <c r="AA58" s="19">
        <f>CUSTOS!$F$17</f>
        <v>0</v>
      </c>
      <c r="AB58" s="19">
        <f>CUSTOS!$F$18</f>
        <v>0</v>
      </c>
      <c r="AC58" s="19">
        <f>CUSTOS!$F$19</f>
        <v>0</v>
      </c>
      <c r="AD58" s="19">
        <f>CUSTOS!$F$20</f>
        <v>0</v>
      </c>
      <c r="AE58" s="19">
        <f>CUSTOS!$F$21</f>
        <v>0</v>
      </c>
      <c r="AF58" s="19">
        <f>CUSTOS!$F$22</f>
        <v>0</v>
      </c>
      <c r="AG58" s="19">
        <f>CUSTOS!$F$23</f>
        <v>0</v>
      </c>
      <c r="AH58" s="19">
        <f>CUSTOS!$F$24</f>
        <v>0</v>
      </c>
      <c r="AI58" s="19">
        <f>CUSTOS!$F$25</f>
        <v>0</v>
      </c>
      <c r="AJ58" s="19">
        <f>CUSTOS!$F$26</f>
        <v>0</v>
      </c>
      <c r="AK58" s="19">
        <f>CUSTOS!$F$27</f>
        <v>0</v>
      </c>
      <c r="AL58" s="19">
        <f>CUSTOS!$F$28</f>
        <v>0</v>
      </c>
      <c r="AM58" s="19">
        <f>CUSTOS!$F$29</f>
        <v>0</v>
      </c>
    </row>
    <row r="59" spans="1:42" ht="11.25" customHeight="1" x14ac:dyDescent="0.3">
      <c r="K59" s="18" t="s">
        <v>453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/>
      <c r="AC59" s="19">
        <v>0</v>
      </c>
      <c r="AD59" s="19"/>
      <c r="AE59" s="19">
        <v>0</v>
      </c>
      <c r="AF59" s="19">
        <v>0</v>
      </c>
      <c r="AG59" s="19"/>
      <c r="AH59" s="19">
        <v>0</v>
      </c>
      <c r="AI59" s="19">
        <v>0</v>
      </c>
      <c r="AJ59" s="19">
        <v>0</v>
      </c>
      <c r="AK59" s="19">
        <v>0</v>
      </c>
      <c r="AL59" s="19"/>
      <c r="AM59" s="19"/>
    </row>
    <row r="60" spans="1:42" ht="11.25" customHeight="1" x14ac:dyDescent="0.3">
      <c r="K60" s="18" t="s">
        <v>454</v>
      </c>
      <c r="L60" s="19">
        <f t="shared" ref="L60:S60" si="1">IF((L55+L53)&lt;&gt;0,(L56-L54-L59)/(L55+L53),0)</f>
        <v>48.698907051497756</v>
      </c>
      <c r="M60" s="19">
        <f t="shared" si="1"/>
        <v>1.0162494285662655</v>
      </c>
      <c r="N60" s="19">
        <f t="shared" ca="1" si="1"/>
        <v>0</v>
      </c>
      <c r="O60" s="19">
        <f t="shared" si="1"/>
        <v>0</v>
      </c>
      <c r="P60" s="19">
        <f t="shared" si="1"/>
        <v>0</v>
      </c>
      <c r="Q60" s="19">
        <f t="shared" si="1"/>
        <v>86.509846835570912</v>
      </c>
      <c r="R60" s="19">
        <f t="shared" si="1"/>
        <v>14.354023406416101</v>
      </c>
      <c r="S60" s="19">
        <f t="shared" si="1"/>
        <v>0</v>
      </c>
      <c r="T60" s="19"/>
      <c r="U60" s="19">
        <f>IF(U55&lt;&gt;0,(U56-U54-U53-U59)/U55,0)</f>
        <v>0</v>
      </c>
      <c r="V60" s="19">
        <f>IF(V55&lt;&gt;0,(V56-V54-V53-V59)/V55,0)</f>
        <v>0</v>
      </c>
      <c r="W60" s="19">
        <f>IF(W55&lt;&gt;0,(W56-W54-W53-W59)/W55,0)</f>
        <v>0</v>
      </c>
      <c r="X60" s="19">
        <f>IF(X55&lt;&gt;0,(X56-X54-X53-X59)/X55,0)</f>
        <v>0</v>
      </c>
      <c r="Y60" s="19">
        <f>IF(Y55&lt;&gt;0,(Y56-Y54-Y53-Y59)/Y55,0)</f>
        <v>1.157963589595792</v>
      </c>
      <c r="Z60" s="19"/>
      <c r="AA60" s="19"/>
      <c r="AB60" s="19"/>
      <c r="AC60" s="19">
        <f>IF(AC55&lt;&gt;0,(AC56-AC54-AC53-AC59)/AC55,0)</f>
        <v>1.1080440844764383</v>
      </c>
      <c r="AD60" s="19"/>
      <c r="AE60" s="19">
        <f>IF((AE55+AE53)&lt;&gt;0,(AE56-AE54-AE59)/(AE55+AE53),0)</f>
        <v>0</v>
      </c>
      <c r="AF60" s="19">
        <f>IF((AF55+AF53)&lt;&gt;0,(AF56-AF54-AF59)/(AF55+AF53),0)</f>
        <v>0</v>
      </c>
      <c r="AG60" s="19"/>
      <c r="AH60" s="19">
        <f>IF(AH55&lt;&gt;0,(AH56-AH54-AH53-AH59)/AH55,0)</f>
        <v>0.94507777738570997</v>
      </c>
      <c r="AI60" s="19">
        <f>IF(AI55&lt;&gt;0,(AI56-AI54-AI53-AI59)/AI55,0)</f>
        <v>0</v>
      </c>
      <c r="AJ60" s="19">
        <f ca="1">IF((AJ55+AJ53)&lt;&gt;0,(AJ56-AJ54-AJ59)/(AJ55+AJ53),0)</f>
        <v>1.0161993562194649</v>
      </c>
      <c r="AK60" s="19">
        <f ca="1">IF((AK55+AK53)&lt;&gt;0,(AK56-AK54-AK59)/(AK55+AK53),0)</f>
        <v>0</v>
      </c>
      <c r="AL60" s="19"/>
      <c r="AM60" s="19"/>
    </row>
    <row r="62" spans="1:42" ht="11.25" customHeight="1" x14ac:dyDescent="0.3">
      <c r="K62" s="29" t="s">
        <v>458</v>
      </c>
      <c r="L62" s="29" t="s">
        <v>459</v>
      </c>
      <c r="M62" s="29" t="s">
        <v>460</v>
      </c>
      <c r="N62" s="29" t="s">
        <v>461</v>
      </c>
      <c r="O62" s="29" t="s">
        <v>462</v>
      </c>
      <c r="P62" s="29" t="s">
        <v>463</v>
      </c>
    </row>
    <row r="63" spans="1:42" ht="11.25" customHeight="1" x14ac:dyDescent="0.3">
      <c r="K63" s="21" t="s">
        <v>36</v>
      </c>
      <c r="L63" s="2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1972104.1104717553</v>
      </c>
      <c r="M63" s="21">
        <f>+'TUSD BE'!$I$7+'TUSD BE'!$I$8+'TUSD BE'!$I$11+'TUSD BE'!$I$12+'TUSD BE'!$I$13+'TUSD BE'!$I$14</f>
        <v>2686.752</v>
      </c>
      <c r="N63" s="21">
        <f ca="1">IF(AND($L$70&lt;&gt;0,M63&lt;&gt;0),(L63/$L$70*$AJ$56)/M63,0)</f>
        <v>1.8893523912893901</v>
      </c>
      <c r="O63" s="21"/>
      <c r="P63" s="21"/>
    </row>
    <row r="64" spans="1:42" ht="11.25" customHeight="1" x14ac:dyDescent="0.3">
      <c r="K64" s="21" t="s">
        <v>77</v>
      </c>
      <c r="L64" s="21">
        <f ca="1">+$L$65+$L$66+$L$67+$L$68+$L$69</f>
        <v>16742129.458761998</v>
      </c>
      <c r="M64" s="21">
        <f>+$M$65+$M$66+$M$67+$M$68+$M$69</f>
        <v>17564.158000000003</v>
      </c>
      <c r="N64" s="21">
        <f ca="1">IF(AND($L$70&lt;&gt;0,M64&lt;&gt;0),(L64/$L$70*$AJ$56)/M64,0)</f>
        <v>2.4535452432851668</v>
      </c>
      <c r="O64" s="21"/>
      <c r="P64" s="21"/>
    </row>
    <row r="65" spans="11:16" ht="11.25" customHeight="1" x14ac:dyDescent="0.3">
      <c r="K65" s="21" t="s">
        <v>77</v>
      </c>
      <c r="L65" s="21"/>
      <c r="M65" s="21"/>
      <c r="N65" s="21">
        <f ca="1">IF(AND($L$70&lt;&gt;0,M65&lt;&gt;0),(L65/$L$70*$AJ$56)/M65,0)</f>
        <v>0</v>
      </c>
      <c r="O65" s="21"/>
      <c r="P65" s="21"/>
    </row>
    <row r="66" spans="11:16" ht="11.25" customHeight="1" x14ac:dyDescent="0.3">
      <c r="K66" s="21" t="s">
        <v>22</v>
      </c>
      <c r="L66" s="2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8587741.33121741</v>
      </c>
      <c r="M66" s="21">
        <f>+'TUSD BE'!$I$17+'TUSD BE'!$I$18+'TUSD BE'!$I$19+'TUSD BE'!$I$20+'TUSD BE'!$I$21+'TUSD BE'!$I$22+'TUSD BE'!$I$23+'TUSD BE'!$I$24+'TUSD BE'!$I$25+'TUSD BE'!$I$26+'TUSD BE'!$I$27+'TUSD BE'!$I$28+'TUSD BE'!$I$29</f>
        <v>8863.6570000000047</v>
      </c>
      <c r="N66" s="21"/>
      <c r="O66" s="21"/>
      <c r="P66" s="21"/>
    </row>
    <row r="67" spans="11:16" ht="11.25" customHeight="1" x14ac:dyDescent="0.3">
      <c r="K67" s="21" t="s">
        <v>40</v>
      </c>
      <c r="L67" s="2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1473993.5402802716</v>
      </c>
      <c r="M67" s="21">
        <f>+'TUSD BE'!$I$30+'TUSD BE'!$I$31+'TUSD BE'!$I$32+'TUSD BE'!$I$33+'TUSD BE'!$I$34+'TUSD BE'!$I$35+'TUSD BE'!$I$36+'TUSD BE'!$I$37+'TUSD BE'!$I$38+'TUSD BE'!$I$39+'TUSD BE'!$I$40+'TUSD BE'!$I$41+'TUSD BE'!$I$42+'TUSD BE'!$I$43+'TUSD BE'!$I$44</f>
        <v>1516.1360000000004</v>
      </c>
      <c r="N67" s="21"/>
      <c r="O67" s="21"/>
      <c r="P67" s="21"/>
    </row>
    <row r="68" spans="11:16" ht="11.25" customHeight="1" x14ac:dyDescent="0.3">
      <c r="K68" s="21" t="s">
        <v>33</v>
      </c>
      <c r="L68" s="2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6337277.0177276293</v>
      </c>
      <c r="M68" s="21">
        <f>+'TUSD BE'!$I$45+'TUSD BE'!$I$46+'TUSD BE'!$I$47+'TUSD BE'!$I$48+'TUSD BE'!$I$49</f>
        <v>6518.4639999999999</v>
      </c>
      <c r="N68" s="21"/>
      <c r="O68" s="21"/>
      <c r="P68" s="21"/>
    </row>
    <row r="69" spans="11:16" ht="11.25" customHeight="1" x14ac:dyDescent="0.3">
      <c r="K69" s="21" t="s">
        <v>43</v>
      </c>
      <c r="L69" s="2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343117.56953668501</v>
      </c>
      <c r="M69" s="21">
        <f>+'TUSD BE'!$I$50+'TUSD BE'!$I$51</f>
        <v>665.90099999999984</v>
      </c>
      <c r="N69" s="21"/>
      <c r="O69" s="21"/>
      <c r="P69" s="21"/>
    </row>
    <row r="70" spans="11:16" ht="11.25" customHeight="1" x14ac:dyDescent="0.3">
      <c r="K70" s="21"/>
      <c r="L70" s="21">
        <f ca="1">SUM($L$63:$L$69,-$L$64)</f>
        <v>18714233.569233753</v>
      </c>
      <c r="M70" s="21">
        <f>SUM($M$63:$M$69,-$M$64)</f>
        <v>20250.910000000003</v>
      </c>
      <c r="N70" s="21"/>
      <c r="O70" s="21"/>
      <c r="P70" s="21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8AF7-9A12-4115-862C-FD3402AFB744}">
  <dimension ref="A1:AP58"/>
  <sheetViews>
    <sheetView showGridLines="0" topLeftCell="AB38" workbookViewId="0">
      <selection activeCell="AM53" sqref="AM53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455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449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/>
      <c r="U3" s="122" t="s">
        <v>357</v>
      </c>
      <c r="V3" s="122"/>
      <c r="W3" s="122"/>
      <c r="X3" s="122"/>
      <c r="Y3" s="122"/>
      <c r="Z3" s="122"/>
      <c r="AA3" s="122"/>
      <c r="AB3" s="122"/>
      <c r="AC3" s="122" t="s">
        <v>365</v>
      </c>
      <c r="AD3" s="122"/>
      <c r="AE3" s="122" t="s">
        <v>367</v>
      </c>
      <c r="AF3" s="122"/>
      <c r="AG3" s="122"/>
      <c r="AH3" s="122" t="s">
        <v>370</v>
      </c>
      <c r="AI3" s="122"/>
      <c r="AJ3" s="122"/>
      <c r="AK3" s="122"/>
      <c r="AL3" s="122"/>
      <c r="AM3" s="122" t="s">
        <v>356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23" t="s">
        <v>432</v>
      </c>
      <c r="M4" s="23" t="s">
        <v>349</v>
      </c>
      <c r="N4" s="23" t="s">
        <v>350</v>
      </c>
      <c r="O4" s="23" t="s">
        <v>351</v>
      </c>
      <c r="P4" s="23" t="s">
        <v>352</v>
      </c>
      <c r="Q4" s="23" t="s">
        <v>353</v>
      </c>
      <c r="R4" s="23" t="s">
        <v>354</v>
      </c>
      <c r="S4" s="23" t="s">
        <v>355</v>
      </c>
      <c r="T4" s="23" t="s">
        <v>356</v>
      </c>
      <c r="U4" s="23" t="s">
        <v>358</v>
      </c>
      <c r="V4" s="23" t="s">
        <v>359</v>
      </c>
      <c r="W4" s="23" t="s">
        <v>360</v>
      </c>
      <c r="X4" s="23" t="s">
        <v>361</v>
      </c>
      <c r="Y4" s="23" t="s">
        <v>362</v>
      </c>
      <c r="Z4" s="23" t="s">
        <v>363</v>
      </c>
      <c r="AA4" s="23" t="s">
        <v>364</v>
      </c>
      <c r="AB4" s="23" t="s">
        <v>356</v>
      </c>
      <c r="AC4" s="23" t="s">
        <v>366</v>
      </c>
      <c r="AD4" s="23" t="s">
        <v>356</v>
      </c>
      <c r="AE4" s="23" t="s">
        <v>368</v>
      </c>
      <c r="AF4" s="23" t="s">
        <v>369</v>
      </c>
      <c r="AG4" s="23" t="s">
        <v>356</v>
      </c>
      <c r="AH4" s="23" t="s">
        <v>371</v>
      </c>
      <c r="AI4" s="23" t="s">
        <v>372</v>
      </c>
      <c r="AJ4" s="23" t="s">
        <v>373</v>
      </c>
      <c r="AK4" s="23" t="s">
        <v>374</v>
      </c>
      <c r="AL4" s="23" t="s">
        <v>356</v>
      </c>
      <c r="AM4" s="124"/>
      <c r="AP4" s="123"/>
    </row>
    <row r="5" spans="1:42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20">
        <f>'TR TUSD'!$L$5*'TR TUSD'!$L$60</f>
        <v>0</v>
      </c>
      <c r="M5" s="20">
        <f>'TR TUSD'!$M$5*'TR TUSD'!$M$60</f>
        <v>0</v>
      </c>
      <c r="N5" s="20">
        <f ca="1">'TR TUSD'!$N$5*'TR TUSD'!$N$60</f>
        <v>0</v>
      </c>
      <c r="O5" s="20">
        <f>'TR TUSD'!$O$5*'TR TUSD'!$O$60</f>
        <v>0</v>
      </c>
      <c r="P5" s="20">
        <f>'TR TUSD'!$P$5*'TR TUSD'!$P$60</f>
        <v>0</v>
      </c>
      <c r="Q5" s="20">
        <f>'TR TUSD'!$Q$5*'TR TUSD'!$Q$60</f>
        <v>0</v>
      </c>
      <c r="R5" s="20">
        <f>'TR TUSD'!$R$5*'TR TUSD'!$R$60</f>
        <v>0</v>
      </c>
      <c r="S5" s="20">
        <f>'TR TUSD'!$S$5*'TR TUSD'!$S$60</f>
        <v>0</v>
      </c>
      <c r="T5" s="20">
        <f ca="1">SUM($L$5:$S$5)</f>
        <v>0</v>
      </c>
      <c r="U5" s="20">
        <f>'TR TUSD'!$U$5*'TR TUSD'!$U$60</f>
        <v>0</v>
      </c>
      <c r="V5" s="20">
        <f>'TR TUSD'!$V$5*'TR TUSD'!$V$60</f>
        <v>0</v>
      </c>
      <c r="W5" s="20">
        <f>'TR TUSD'!$W$5*'TR TUSD'!$W$60</f>
        <v>0</v>
      </c>
      <c r="X5" s="20">
        <f>'TR TUSD'!$X$5*'TR TUSD'!$X$60</f>
        <v>0</v>
      </c>
      <c r="Y5" s="20">
        <f>'TR TUSD'!$Y$5*'TR TUSD'!$Y$60</f>
        <v>67.401123474166425</v>
      </c>
      <c r="Z5" s="20">
        <f>'TR TUSD'!$Z$5</f>
        <v>0</v>
      </c>
      <c r="AA5" s="20">
        <f>'TR TUSD'!$AA$5</f>
        <v>0</v>
      </c>
      <c r="AB5" s="20">
        <f>SUM($U$5:$AA$5)</f>
        <v>67.401123474166425</v>
      </c>
      <c r="AC5" s="20">
        <f>'TR TUSD'!$AC$5*'TR TUSD'!$AC$60</f>
        <v>111.35144981214985</v>
      </c>
      <c r="AD5" s="20">
        <f>SUM($AC$5:$AC$5)</f>
        <v>111.35144981214985</v>
      </c>
      <c r="AE5" s="20">
        <v>0</v>
      </c>
      <c r="AF5" s="20">
        <v>0</v>
      </c>
      <c r="AG5" s="20">
        <f>SUM($AE$5:$AF$5)</f>
        <v>0</v>
      </c>
      <c r="AH5" s="20">
        <f>'TR TUSD'!$AH$5*'TR TUSD'!$AH$60</f>
        <v>0</v>
      </c>
      <c r="AI5" s="20">
        <f>'TR TUSD'!$AI$5*'TR TUSD'!$AI$60</f>
        <v>0</v>
      </c>
      <c r="AJ5" s="20">
        <f ca="1">'TR TUSD'!$AJ$5*'TR TUSD'!$AJ$60</f>
        <v>0</v>
      </c>
      <c r="AK5" s="20">
        <f ca="1">'TR TUSD'!$AK$5*'TR TUSD'!$AK$60</f>
        <v>0</v>
      </c>
      <c r="AL5" s="20">
        <f ca="1">SUM($AH$5:$AK$5)</f>
        <v>0</v>
      </c>
      <c r="AM5" s="20">
        <f ca="1">SUMIF($L$4:$AL$4,"SUBTOTAL",$L$5:$AL$5)</f>
        <v>178.75257328631628</v>
      </c>
      <c r="AP5" s="20">
        <v>1</v>
      </c>
    </row>
    <row r="6" spans="1:42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20">
        <f>'TR TUSD'!$L$6*'TR TUSD'!$L$60</f>
        <v>0</v>
      </c>
      <c r="M6" s="20">
        <f>'TR TUSD'!$M$6*'TR TUSD'!$M$60</f>
        <v>0</v>
      </c>
      <c r="N6" s="20">
        <f ca="1">'TR TUSD'!$N$6*'TR TUSD'!$N$60</f>
        <v>0</v>
      </c>
      <c r="O6" s="20">
        <f>'TR TUSD'!$O$6*'TR TUSD'!$O$60</f>
        <v>0</v>
      </c>
      <c r="P6" s="20">
        <f>'TR TUSD'!$P$6*'TR TUSD'!$P$60</f>
        <v>0</v>
      </c>
      <c r="Q6" s="20">
        <f>'TR TUSD'!$Q$6*'TR TUSD'!$Q$60</f>
        <v>0</v>
      </c>
      <c r="R6" s="20">
        <f>'TR TUSD'!$R$6*'TR TUSD'!$R$60</f>
        <v>0</v>
      </c>
      <c r="S6" s="20">
        <f>'TR TUSD'!$S$6*'TR TUSD'!$S$60</f>
        <v>0</v>
      </c>
      <c r="T6" s="20">
        <f ca="1">SUM($L$6:$S$6)</f>
        <v>0</v>
      </c>
      <c r="U6" s="20">
        <f>'TR TUSD'!$U$6*'TR TUSD'!$U$60</f>
        <v>0</v>
      </c>
      <c r="V6" s="20">
        <f>'TR TUSD'!$V$6*'TR TUSD'!$V$60</f>
        <v>0</v>
      </c>
      <c r="W6" s="20">
        <f>'TR TUSD'!$W$6*'TR TUSD'!$W$60</f>
        <v>0</v>
      </c>
      <c r="X6" s="20">
        <f>'TR TUSD'!$X$6*'TR TUSD'!$X$60</f>
        <v>0</v>
      </c>
      <c r="Y6" s="20">
        <f>'TR TUSD'!$Y$6*'TR TUSD'!$Y$60</f>
        <v>22.310368684383164</v>
      </c>
      <c r="Z6" s="20">
        <f>'TR TUSD'!$Z$6</f>
        <v>0</v>
      </c>
      <c r="AA6" s="20">
        <f>'TR TUSD'!$AA$6</f>
        <v>0</v>
      </c>
      <c r="AB6" s="20">
        <f>SUM($U$6:$AA$6)</f>
        <v>22.310368684383164</v>
      </c>
      <c r="AC6" s="20">
        <f>'TR TUSD'!$AC$6*'TR TUSD'!$AC$60</f>
        <v>40.924278607235877</v>
      </c>
      <c r="AD6" s="20">
        <f>SUM($AC$6:$AC$6)</f>
        <v>40.924278607235877</v>
      </c>
      <c r="AE6" s="20">
        <v>0</v>
      </c>
      <c r="AF6" s="20">
        <v>0</v>
      </c>
      <c r="AG6" s="20">
        <f>SUM($AE$6:$AF$6)</f>
        <v>0</v>
      </c>
      <c r="AH6" s="20">
        <f>'TR TUSD'!$AH$6*'TR TUSD'!$AH$60</f>
        <v>0</v>
      </c>
      <c r="AI6" s="20">
        <f>'TR TUSD'!$AI$6*'TR TUSD'!$AI$60</f>
        <v>0</v>
      </c>
      <c r="AJ6" s="20">
        <f ca="1">'TR TUSD'!$AJ$6*'TR TUSD'!$AJ$60</f>
        <v>0</v>
      </c>
      <c r="AK6" s="20">
        <f ca="1">'TR TUSD'!$AK$6*'TR TUSD'!$AK$60</f>
        <v>0</v>
      </c>
      <c r="AL6" s="20">
        <f ca="1">SUM($AH$6:$AK$6)</f>
        <v>0</v>
      </c>
      <c r="AM6" s="20">
        <f ca="1">SUMIF($L$4:$AL$4,"SUBTOTAL",$L$6:$AL$6)</f>
        <v>63.234647291619041</v>
      </c>
      <c r="AP6" s="20">
        <v>1</v>
      </c>
    </row>
    <row r="7" spans="1:42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20">
        <f>'TR TUSD'!$L$7*'TR TUSD'!$L$60</f>
        <v>40.907081923258112</v>
      </c>
      <c r="M7" s="20">
        <f>'TR TUSD'!$M$7*'TR TUSD'!$M$60</f>
        <v>1.895501911771645</v>
      </c>
      <c r="N7" s="20">
        <f ca="1">'TR TUSD'!$N$7*'TR TUSD'!$N$60</f>
        <v>0</v>
      </c>
      <c r="O7" s="20">
        <f>'TR TUSD'!$O$7*'TR TUSD'!$O$60</f>
        <v>0</v>
      </c>
      <c r="P7" s="20">
        <f>'TR TUSD'!$P$7*'TR TUSD'!$P$60</f>
        <v>0</v>
      </c>
      <c r="Q7" s="20">
        <f>'TR TUSD'!$Q$7*'TR TUSD'!$Q$60</f>
        <v>72.66827134187956</v>
      </c>
      <c r="R7" s="20">
        <f>'TR TUSD'!$R$7*'TR TUSD'!$R$60</f>
        <v>14.354023406416101</v>
      </c>
      <c r="S7" s="20">
        <f>'TR TUSD'!$S$7*'TR TUSD'!$S$60</f>
        <v>0</v>
      </c>
      <c r="T7" s="20">
        <f ca="1">SUM($L$7:$S$7)</f>
        <v>129.82487858332541</v>
      </c>
      <c r="U7" s="20">
        <f>'TR TUSD'!$U$7*'TR TUSD'!$U$60</f>
        <v>0</v>
      </c>
      <c r="V7" s="20">
        <f>'TR TUSD'!$V$7*'TR TUSD'!$V$60</f>
        <v>0</v>
      </c>
      <c r="W7" s="20">
        <f>'TR TUSD'!$W$7*'TR TUSD'!$W$60</f>
        <v>0</v>
      </c>
      <c r="X7" s="20">
        <f>'TR TUSD'!$X$7*'TR TUSD'!$X$60</f>
        <v>0</v>
      </c>
      <c r="Y7" s="20">
        <f>'TR TUSD'!$Y$7*'TR TUSD'!$Y$60</f>
        <v>0</v>
      </c>
      <c r="Z7" s="20">
        <f>'TR TUSD'!$Z$7</f>
        <v>0</v>
      </c>
      <c r="AA7" s="20">
        <f>'TR TUSD'!$AA$7</f>
        <v>0</v>
      </c>
      <c r="AB7" s="20">
        <f>SUM($U$7:$AA$7)</f>
        <v>0</v>
      </c>
      <c r="AC7" s="20">
        <f>'TR TUSD'!$AC$7*'TR TUSD'!$AC$60</f>
        <v>0</v>
      </c>
      <c r="AD7" s="20">
        <f>SUM($AC$7:$AC$7)</f>
        <v>0</v>
      </c>
      <c r="AE7" s="20">
        <v>0</v>
      </c>
      <c r="AF7" s="20">
        <v>0</v>
      </c>
      <c r="AG7" s="20">
        <f>SUM($AE$7:$AF$7)</f>
        <v>0</v>
      </c>
      <c r="AH7" s="20">
        <f>'TR TUSD'!$AH$7*'TR TUSD'!$AH$60</f>
        <v>8.4400170909430834</v>
      </c>
      <c r="AI7" s="20">
        <f>'TR TUSD'!$AI$7*'TR TUSD'!$AI$60</f>
        <v>0</v>
      </c>
      <c r="AJ7" s="20">
        <f ca="1">'TR TUSD'!$AJ$7*'TR TUSD'!$AJ$60</f>
        <v>1.9199586836999847</v>
      </c>
      <c r="AK7" s="20">
        <f ca="1">'TR TUSD'!$AK$7*'TR TUSD'!$AK$60</f>
        <v>0</v>
      </c>
      <c r="AL7" s="20">
        <f ca="1">SUM($AH$7:$AK$7)</f>
        <v>10.359975774643068</v>
      </c>
      <c r="AM7" s="20">
        <f ca="1">SUMIF($L$4:$AL$4,"SUBTOTAL",$L$7:$AL$7)</f>
        <v>140.18485435796848</v>
      </c>
      <c r="AP7" s="20">
        <v>1</v>
      </c>
    </row>
    <row r="8" spans="1:42" ht="11.25" customHeight="1" x14ac:dyDescent="0.3">
      <c r="A8" s="125"/>
      <c r="B8" s="125"/>
      <c r="C8" s="125"/>
      <c r="D8" s="125"/>
      <c r="E8" s="22" t="s">
        <v>75</v>
      </c>
      <c r="F8" s="22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20">
        <f>'TR TUSD'!$L$8*'TR TUSD'!$L$60</f>
        <v>0</v>
      </c>
      <c r="M8" s="20">
        <f>'TR TUSD'!$M$8*'TR TUSD'!$M$60</f>
        <v>1.895501911771645</v>
      </c>
      <c r="N8" s="20">
        <f ca="1">'TR TUSD'!$N$8*'TR TUSD'!$N$60</f>
        <v>0</v>
      </c>
      <c r="O8" s="20">
        <f>'TR TUSD'!$O$8*'TR TUSD'!$O$60</f>
        <v>0</v>
      </c>
      <c r="P8" s="20">
        <f>'TR TUSD'!$P$8*'TR TUSD'!$P$60</f>
        <v>0</v>
      </c>
      <c r="Q8" s="20">
        <f>'TR TUSD'!$Q$8*'TR TUSD'!$Q$60</f>
        <v>0</v>
      </c>
      <c r="R8" s="20">
        <f>'TR TUSD'!$R$8*'TR TUSD'!$R$60</f>
        <v>0</v>
      </c>
      <c r="S8" s="20">
        <f>'TR TUSD'!$S$8*'TR TUSD'!$S$60</f>
        <v>0</v>
      </c>
      <c r="T8" s="20">
        <f ca="1">SUM($L$8:$S$8)</f>
        <v>1.895501911771645</v>
      </c>
      <c r="U8" s="20">
        <f>'TR TUSD'!$U$8*'TR TUSD'!$U$60</f>
        <v>0</v>
      </c>
      <c r="V8" s="20">
        <f>'TR TUSD'!$V$8*'TR TUSD'!$V$60</f>
        <v>0</v>
      </c>
      <c r="W8" s="20">
        <f>'TR TUSD'!$W$8*'TR TUSD'!$W$60</f>
        <v>0</v>
      </c>
      <c r="X8" s="20">
        <f>'TR TUSD'!$X$8*'TR TUSD'!$X$60</f>
        <v>0</v>
      </c>
      <c r="Y8" s="20">
        <f>'TR TUSD'!$Y$8*'TR TUSD'!$Y$60</f>
        <v>0</v>
      </c>
      <c r="Z8" s="20">
        <f>'TR TUSD'!$Z$8</f>
        <v>0</v>
      </c>
      <c r="AA8" s="20">
        <f>'TR TUSD'!$AA$8</f>
        <v>0</v>
      </c>
      <c r="AB8" s="20">
        <f>SUM($U$8:$AA$8)</f>
        <v>0</v>
      </c>
      <c r="AC8" s="20">
        <f>'TR TUSD'!$AC$8*'TR TUSD'!$AC$60</f>
        <v>0</v>
      </c>
      <c r="AD8" s="20">
        <f>SUM($AC$8:$AC$8)</f>
        <v>0</v>
      </c>
      <c r="AE8" s="20">
        <v>0</v>
      </c>
      <c r="AF8" s="20">
        <v>0</v>
      </c>
      <c r="AG8" s="20">
        <f>SUM($AE$8:$AF$8)</f>
        <v>0</v>
      </c>
      <c r="AH8" s="20">
        <f>'TR TUSD'!$AH$8*'TR TUSD'!$AH$60</f>
        <v>8.4400170909430834</v>
      </c>
      <c r="AI8" s="20">
        <f>'TR TUSD'!$AI$8*'TR TUSD'!$AI$60</f>
        <v>0</v>
      </c>
      <c r="AJ8" s="20">
        <f ca="1">'TR TUSD'!$AJ$8*'TR TUSD'!$AJ$60</f>
        <v>1.9199586836999847</v>
      </c>
      <c r="AK8" s="20">
        <f ca="1">'TR TUSD'!$AK$8*'TR TUSD'!$AK$60</f>
        <v>0</v>
      </c>
      <c r="AL8" s="20">
        <f ca="1">SUM($AH$8:$AK$8)</f>
        <v>10.359975774643068</v>
      </c>
      <c r="AM8" s="20">
        <f ca="1">SUMIF($L$4:$AL$4,"SUBTOTAL",$L$8:$AL$8)</f>
        <v>12.255477686414713</v>
      </c>
      <c r="AP8" s="20">
        <v>1</v>
      </c>
    </row>
    <row r="9" spans="1:42" ht="11.25" customHeight="1" x14ac:dyDescent="0.3">
      <c r="A9" s="125"/>
      <c r="B9" s="22" t="s">
        <v>76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20">
        <f>'TR TUSD'!$L$9*'TR TUSD'!$L$60</f>
        <v>0</v>
      </c>
      <c r="M9" s="20">
        <f>'TR TUSD'!$M$9*'TR TUSD'!$M$60</f>
        <v>0</v>
      </c>
      <c r="N9" s="20">
        <f ca="1">'TR TUSD'!$N$9*'TR TUSD'!$N$60</f>
        <v>0</v>
      </c>
      <c r="O9" s="20">
        <f>'TR TUSD'!$O$9*'TR TUSD'!$O$60</f>
        <v>0</v>
      </c>
      <c r="P9" s="20">
        <f>'TR TUSD'!$P$9*'TR TUSD'!$P$60</f>
        <v>0</v>
      </c>
      <c r="Q9" s="20">
        <f>'TR TUSD'!$Q$9*'TR TUSD'!$Q$60</f>
        <v>0</v>
      </c>
      <c r="R9" s="20">
        <f>'TR TUSD'!$R$9*'TR TUSD'!$R$60</f>
        <v>0</v>
      </c>
      <c r="S9" s="20">
        <f>'TR TUSD'!$S$9*'TR TUSD'!$S$60</f>
        <v>0</v>
      </c>
      <c r="T9" s="20">
        <f ca="1">SUM($L$9:$S$9)</f>
        <v>0</v>
      </c>
      <c r="U9" s="20">
        <f>'TR TUSD'!$U$9*'TR TUSD'!$U$60</f>
        <v>0</v>
      </c>
      <c r="V9" s="20">
        <f>'TR TUSD'!$V$9*'TR TUSD'!$V$60</f>
        <v>0</v>
      </c>
      <c r="W9" s="20">
        <f>'TR TUSD'!$W$9*'TR TUSD'!$W$60</f>
        <v>0</v>
      </c>
      <c r="X9" s="20">
        <f>'TR TUSD'!$X$9*'TR TUSD'!$X$60</f>
        <v>0</v>
      </c>
      <c r="Y9" s="20">
        <f>'TR TUSD'!$Y$9*'TR TUSD'!$Y$60</f>
        <v>0</v>
      </c>
      <c r="Z9" s="20">
        <f>'TR TUSD'!$Z$9*'TR TUSD'!$Z$60</f>
        <v>0</v>
      </c>
      <c r="AA9" s="20">
        <f>'TR TUSD'!$AA$9*'TR TUSD'!$AA$60</f>
        <v>0</v>
      </c>
      <c r="AB9" s="20">
        <f>SUM($U$9:$AA$9)</f>
        <v>0</v>
      </c>
      <c r="AC9" s="20">
        <f>'TR TUSD'!$AC$9*'TR TUSD'!$AC$60</f>
        <v>12.866829517757296</v>
      </c>
      <c r="AD9" s="20">
        <f>SUM($AC$9:$AC$9)</f>
        <v>12.866829517757296</v>
      </c>
      <c r="AE9" s="20">
        <v>0</v>
      </c>
      <c r="AF9" s="20">
        <v>0</v>
      </c>
      <c r="AG9" s="20">
        <f>SUM($AE$9:$AF$9)</f>
        <v>0</v>
      </c>
      <c r="AH9" s="20">
        <f>'TR TUSD'!$AH$9*'TR TUSD'!$AH$60</f>
        <v>0</v>
      </c>
      <c r="AI9" s="20">
        <f>'TR TUSD'!$AI$9*'TR TUSD'!$AI$60</f>
        <v>0</v>
      </c>
      <c r="AJ9" s="20">
        <f ca="1">'TR TUSD'!$AJ$9*'TR TUSD'!$AJ$60</f>
        <v>0</v>
      </c>
      <c r="AK9" s="20">
        <f ca="1">'TR TUSD'!$AK$9*'TR TUSD'!$AK$60</f>
        <v>0</v>
      </c>
      <c r="AL9" s="20">
        <f ca="1">SUM($AH$9:$AK$9)</f>
        <v>0</v>
      </c>
      <c r="AM9" s="20">
        <f ca="1">SUMIF($L$4:$AL$4,"SUBTOTAL",$L$9:$AL$9)</f>
        <v>12.866829517757296</v>
      </c>
      <c r="AP9" s="20"/>
    </row>
    <row r="10" spans="1:42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20">
        <f>'TR TUSD'!$L$10*'TR TUSD'!$L$60</f>
        <v>0</v>
      </c>
      <c r="M10" s="20">
        <f>'TR TUSD'!$M$10*'TR TUSD'!$M$60</f>
        <v>0</v>
      </c>
      <c r="N10" s="20">
        <f ca="1">'TR TUSD'!$N$10*'TR TUSD'!$N$60</f>
        <v>0</v>
      </c>
      <c r="O10" s="20">
        <f>'TR TUSD'!$O$10*'TR TUSD'!$O$60</f>
        <v>0</v>
      </c>
      <c r="P10" s="20">
        <f>'TR TUSD'!$P$10*'TR TUSD'!$P$60</f>
        <v>0</v>
      </c>
      <c r="Q10" s="20">
        <f>'TR TUSD'!$Q$10*'TR TUSD'!$Q$60</f>
        <v>0</v>
      </c>
      <c r="R10" s="20">
        <f>'TR TUSD'!$R$10*'TR TUSD'!$R$60</f>
        <v>0</v>
      </c>
      <c r="S10" s="20">
        <f>'TR TUSD'!$S$10*'TR TUSD'!$S$60</f>
        <v>0</v>
      </c>
      <c r="T10" s="20">
        <f ca="1">SUM($L$10:$S$10)</f>
        <v>0</v>
      </c>
      <c r="U10" s="20">
        <f>'TR TUSD'!$U$10*'TR TUSD'!$U$60</f>
        <v>0</v>
      </c>
      <c r="V10" s="20">
        <f>'TR TUSD'!$V$10*'TR TUSD'!$V$60</f>
        <v>0</v>
      </c>
      <c r="W10" s="20">
        <f>'TR TUSD'!$W$10*'TR TUSD'!$W$60</f>
        <v>0</v>
      </c>
      <c r="X10" s="20">
        <f>'TR TUSD'!$X$10*'TR TUSD'!$X$60</f>
        <v>0</v>
      </c>
      <c r="Y10" s="20">
        <f>'TR TUSD'!$Y$10*'TR TUSD'!$Y$60</f>
        <v>22.310368684383164</v>
      </c>
      <c r="Z10" s="20">
        <f>'TR TUSD'!$Z$10</f>
        <v>0</v>
      </c>
      <c r="AA10" s="20">
        <f>'TR TUSD'!$AA$10</f>
        <v>0</v>
      </c>
      <c r="AB10" s="20">
        <f>SUM($U$10:$AA$10)</f>
        <v>22.310368684383164</v>
      </c>
      <c r="AC10" s="20">
        <f>'TR TUSD'!$AC$10*'TR TUSD'!$AC$60</f>
        <v>40.924278607235877</v>
      </c>
      <c r="AD10" s="20">
        <f>SUM($AC$10:$AC$10)</f>
        <v>40.924278607235877</v>
      </c>
      <c r="AE10" s="20">
        <v>0</v>
      </c>
      <c r="AF10" s="20">
        <v>0</v>
      </c>
      <c r="AG10" s="20">
        <f>SUM($AE$10:$AF$10)</f>
        <v>0</v>
      </c>
      <c r="AH10" s="20">
        <f>'TR TUSD'!$AH$10*'TR TUSD'!$AH$60</f>
        <v>0</v>
      </c>
      <c r="AI10" s="20">
        <f>'TR TUSD'!$AI$10*'TR TUSD'!$AI$60</f>
        <v>0</v>
      </c>
      <c r="AJ10" s="20">
        <f ca="1">'TR TUSD'!$AJ$10*'TR TUSD'!$AJ$60</f>
        <v>0</v>
      </c>
      <c r="AK10" s="20">
        <f ca="1">'TR TUSD'!$AK$10*'TR TUSD'!$AK$60</f>
        <v>0</v>
      </c>
      <c r="AL10" s="20">
        <f ca="1">SUM($AH$10:$AK$10)</f>
        <v>0</v>
      </c>
      <c r="AM10" s="20">
        <f ca="1">SUMIF($L$4:$AL$4,"SUBTOTAL",$L$10:$AL$10)</f>
        <v>63.234647291619041</v>
      </c>
      <c r="AP10" s="20">
        <v>1</v>
      </c>
    </row>
    <row r="11" spans="1:42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20">
        <f>'TR TUSD'!$L$11*'TR TUSD'!$L$60</f>
        <v>40.907081923258112</v>
      </c>
      <c r="M11" s="20">
        <f>'TR TUSD'!$M$11*'TR TUSD'!$M$60</f>
        <v>1.895501911771645</v>
      </c>
      <c r="N11" s="20">
        <f ca="1">'TR TUSD'!$N$11*'TR TUSD'!$N$60</f>
        <v>0</v>
      </c>
      <c r="O11" s="20">
        <f>'TR TUSD'!$O$11*'TR TUSD'!$O$60</f>
        <v>0</v>
      </c>
      <c r="P11" s="20">
        <f>'TR TUSD'!$P$11*'TR TUSD'!$P$60</f>
        <v>0</v>
      </c>
      <c r="Q11" s="20">
        <f>'TR TUSD'!$Q$11*'TR TUSD'!$Q$60</f>
        <v>72.66827134187956</v>
      </c>
      <c r="R11" s="20">
        <f>'TR TUSD'!$R$11*'TR TUSD'!$R$60</f>
        <v>14.354023406416101</v>
      </c>
      <c r="S11" s="20">
        <f>'TR TUSD'!$S$11*'TR TUSD'!$S$60</f>
        <v>0</v>
      </c>
      <c r="T11" s="20">
        <f ca="1">SUM($L$11:$S$11)</f>
        <v>129.82487858332541</v>
      </c>
      <c r="U11" s="20">
        <f>'TR TUSD'!$U$11*'TR TUSD'!$U$60</f>
        <v>0</v>
      </c>
      <c r="V11" s="20">
        <f>'TR TUSD'!$V$11*'TR TUSD'!$V$60</f>
        <v>0</v>
      </c>
      <c r="W11" s="20">
        <f>'TR TUSD'!$W$11*'TR TUSD'!$W$60</f>
        <v>0</v>
      </c>
      <c r="X11" s="20">
        <f>'TR TUSD'!$X$11*'TR TUSD'!$X$60</f>
        <v>0</v>
      </c>
      <c r="Y11" s="20">
        <f>'TR TUSD'!$Y$11*'TR TUSD'!$Y$60</f>
        <v>1620.96525661244</v>
      </c>
      <c r="Z11" s="20">
        <f>'TR TUSD'!$Z$11</f>
        <v>0</v>
      </c>
      <c r="AA11" s="20">
        <f>'TR TUSD'!$AA$11</f>
        <v>0</v>
      </c>
      <c r="AB11" s="20">
        <f>SUM($U$11:$AA$11)</f>
        <v>1620.96525661244</v>
      </c>
      <c r="AC11" s="20">
        <f>'TR TUSD'!$AC$11*'TR TUSD'!$AC$60</f>
        <v>2678.0052655174845</v>
      </c>
      <c r="AD11" s="20">
        <f>SUM($AC$11:$AC$11)</f>
        <v>2678.0052655174845</v>
      </c>
      <c r="AE11" s="20">
        <v>0</v>
      </c>
      <c r="AF11" s="20">
        <v>0</v>
      </c>
      <c r="AG11" s="20">
        <f>SUM($AE$11:$AF$11)</f>
        <v>0</v>
      </c>
      <c r="AH11" s="20">
        <f>'TR TUSD'!$AH$11*'TR TUSD'!$AH$60</f>
        <v>8.4400170909430834</v>
      </c>
      <c r="AI11" s="20">
        <f>'TR TUSD'!$AI$11*'TR TUSD'!$AI$60</f>
        <v>0</v>
      </c>
      <c r="AJ11" s="20">
        <f ca="1">'TR TUSD'!$AJ$11*'TR TUSD'!$AJ$60</f>
        <v>1.9199586836999847</v>
      </c>
      <c r="AK11" s="20">
        <f ca="1">'TR TUSD'!$AK$11*'TR TUSD'!$AK$60</f>
        <v>0</v>
      </c>
      <c r="AL11" s="20">
        <f ca="1">SUM($AH$11:$AK$11)</f>
        <v>10.359975774643068</v>
      </c>
      <c r="AM11" s="20">
        <f ca="1">SUMIF($L$4:$AL$4,"SUBTOTAL",$L$11:$AL$11)</f>
        <v>4439.1553764878936</v>
      </c>
      <c r="AP11" s="20">
        <v>1</v>
      </c>
    </row>
    <row r="12" spans="1:42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20">
        <f>'TR TUSD'!$L$12*'TR TUSD'!$L$60</f>
        <v>40.907081923258112</v>
      </c>
      <c r="M12" s="20">
        <f>'TR TUSD'!$M$12*'TR TUSD'!$M$60</f>
        <v>1.895501911771645</v>
      </c>
      <c r="N12" s="20">
        <f ca="1">'TR TUSD'!$N$12*'TR TUSD'!$N$60</f>
        <v>0</v>
      </c>
      <c r="O12" s="20">
        <f>'TR TUSD'!$O$12*'TR TUSD'!$O$60</f>
        <v>0</v>
      </c>
      <c r="P12" s="20">
        <f>'TR TUSD'!$P$12*'TR TUSD'!$P$60</f>
        <v>0</v>
      </c>
      <c r="Q12" s="20">
        <f>'TR TUSD'!$Q$12*'TR TUSD'!$Q$60</f>
        <v>72.66827134187956</v>
      </c>
      <c r="R12" s="20">
        <f>'TR TUSD'!$R$12*'TR TUSD'!$R$60</f>
        <v>14.354023406416101</v>
      </c>
      <c r="S12" s="20">
        <f>'TR TUSD'!$S$12*'TR TUSD'!$S$60</f>
        <v>0</v>
      </c>
      <c r="T12" s="20">
        <f ca="1">SUM($L$12:$S$12)</f>
        <v>129.82487858332541</v>
      </c>
      <c r="U12" s="20">
        <f>'TR TUSD'!$U$12*'TR TUSD'!$U$60</f>
        <v>0</v>
      </c>
      <c r="V12" s="20">
        <f>'TR TUSD'!$V$12*'TR TUSD'!$V$60</f>
        <v>0</v>
      </c>
      <c r="W12" s="20">
        <f>'TR TUSD'!$W$12*'TR TUSD'!$W$60</f>
        <v>0</v>
      </c>
      <c r="X12" s="20">
        <f>'TR TUSD'!$X$12*'TR TUSD'!$X$60</f>
        <v>0</v>
      </c>
      <c r="Y12" s="20">
        <f>'TR TUSD'!$Y$12*'TR TUSD'!$Y$60</f>
        <v>0</v>
      </c>
      <c r="Z12" s="20">
        <f>'TR TUSD'!$Z$12</f>
        <v>0</v>
      </c>
      <c r="AA12" s="20">
        <f>'TR TUSD'!$AA$12</f>
        <v>0</v>
      </c>
      <c r="AB12" s="20">
        <f>SUM($U$12:$AA$12)</f>
        <v>0</v>
      </c>
      <c r="AC12" s="20">
        <f>'TR TUSD'!$AC$12*'TR TUSD'!$AC$60</f>
        <v>0</v>
      </c>
      <c r="AD12" s="20">
        <f>SUM($AC$12:$AC$12)</f>
        <v>0</v>
      </c>
      <c r="AE12" s="20">
        <v>0</v>
      </c>
      <c r="AF12" s="20">
        <v>0</v>
      </c>
      <c r="AG12" s="20">
        <f>SUM($AE$12:$AF$12)</f>
        <v>0</v>
      </c>
      <c r="AH12" s="20">
        <f>'TR TUSD'!$AH$12*'TR TUSD'!$AH$60</f>
        <v>8.4400170909430834</v>
      </c>
      <c r="AI12" s="20">
        <f>'TR TUSD'!$AI$12*'TR TUSD'!$AI$60</f>
        <v>0</v>
      </c>
      <c r="AJ12" s="20">
        <f ca="1">'TR TUSD'!$AJ$12*'TR TUSD'!$AJ$60</f>
        <v>1.9199586836999847</v>
      </c>
      <c r="AK12" s="20">
        <f ca="1">'TR TUSD'!$AK$12*'TR TUSD'!$AK$60</f>
        <v>0</v>
      </c>
      <c r="AL12" s="20">
        <f ca="1">SUM($AH$12:$AK$12)</f>
        <v>10.359975774643068</v>
      </c>
      <c r="AM12" s="20">
        <f ca="1">SUMIF($L$4:$AL$4,"SUBTOTAL",$L$12:$AL$12)</f>
        <v>140.18485435796848</v>
      </c>
      <c r="AP12" s="20">
        <v>1</v>
      </c>
    </row>
    <row r="13" spans="1:42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20">
        <f>'TR TUSD'!$L$13*'TR TUSD'!$L$60</f>
        <v>0</v>
      </c>
      <c r="M13" s="20">
        <f>'TR TUSD'!$M$13*'TR TUSD'!$M$60</f>
        <v>1.895501911771645</v>
      </c>
      <c r="N13" s="20">
        <f ca="1">'TR TUSD'!$N$13*'TR TUSD'!$N$60</f>
        <v>0</v>
      </c>
      <c r="O13" s="20">
        <f>'TR TUSD'!$O$13*'TR TUSD'!$O$60</f>
        <v>0</v>
      </c>
      <c r="P13" s="20">
        <f>'TR TUSD'!$P$13*'TR TUSD'!$P$60</f>
        <v>0</v>
      </c>
      <c r="Q13" s="20">
        <f>'TR TUSD'!$Q$13*'TR TUSD'!$Q$60</f>
        <v>0</v>
      </c>
      <c r="R13" s="20">
        <f>'TR TUSD'!$R$13*'TR TUSD'!$R$60</f>
        <v>0</v>
      </c>
      <c r="S13" s="20">
        <f>'TR TUSD'!$S$13*'TR TUSD'!$S$60</f>
        <v>0</v>
      </c>
      <c r="T13" s="20">
        <f ca="1">SUM($L$13:$S$13)</f>
        <v>1.895501911771645</v>
      </c>
      <c r="U13" s="20">
        <f>'TR TUSD'!$U$13*'TR TUSD'!$U$60</f>
        <v>0</v>
      </c>
      <c r="V13" s="20">
        <f>'TR TUSD'!$V$13*'TR TUSD'!$V$60</f>
        <v>0</v>
      </c>
      <c r="W13" s="20">
        <f>'TR TUSD'!$W$13*'TR TUSD'!$W$60</f>
        <v>0</v>
      </c>
      <c r="X13" s="20">
        <f>'TR TUSD'!$X$13*'TR TUSD'!$X$60</f>
        <v>0</v>
      </c>
      <c r="Y13" s="20">
        <f>'TR TUSD'!$Y$13*'TR TUSD'!$Y$60</f>
        <v>1620.96525661244</v>
      </c>
      <c r="Z13" s="20">
        <f>'TR TUSD'!$Z$13</f>
        <v>0</v>
      </c>
      <c r="AA13" s="20">
        <f>'TR TUSD'!$AA$13</f>
        <v>0</v>
      </c>
      <c r="AB13" s="20">
        <f>SUM($U$13:$AA$13)</f>
        <v>1620.96525661244</v>
      </c>
      <c r="AC13" s="20">
        <f>'TR TUSD'!$AC$13*'TR TUSD'!$AC$60</f>
        <v>2678.0052655174845</v>
      </c>
      <c r="AD13" s="20">
        <f>SUM($AC$13:$AC$13)</f>
        <v>2678.0052655174845</v>
      </c>
      <c r="AE13" s="20">
        <v>0</v>
      </c>
      <c r="AF13" s="20">
        <v>0</v>
      </c>
      <c r="AG13" s="20">
        <f>SUM($AE$13:$AF$13)</f>
        <v>0</v>
      </c>
      <c r="AH13" s="20">
        <f>'TR TUSD'!$AH$13*'TR TUSD'!$AH$60</f>
        <v>8.4400170909430834</v>
      </c>
      <c r="AI13" s="20">
        <f>'TR TUSD'!$AI$13*'TR TUSD'!$AI$60</f>
        <v>0</v>
      </c>
      <c r="AJ13" s="20">
        <f ca="1">'TR TUSD'!$AJ$13*'TR TUSD'!$AJ$60</f>
        <v>1.9199586836999847</v>
      </c>
      <c r="AK13" s="20">
        <f ca="1">'TR TUSD'!$AK$13*'TR TUSD'!$AK$60</f>
        <v>0</v>
      </c>
      <c r="AL13" s="20">
        <f ca="1">SUM($AH$13:$AK$13)</f>
        <v>10.359975774643068</v>
      </c>
      <c r="AM13" s="20">
        <f ca="1">SUMIF($L$4:$AL$4,"SUBTOTAL",$L$13:$AL$13)</f>
        <v>4311.225999816339</v>
      </c>
      <c r="AP13" s="20">
        <v>1</v>
      </c>
    </row>
    <row r="14" spans="1:42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20">
        <f>'TR TUSD'!$L$14*'TR TUSD'!$L$60</f>
        <v>0</v>
      </c>
      <c r="M14" s="20">
        <f>'TR TUSD'!$M$14*'TR TUSD'!$M$60</f>
        <v>1.895501911771645</v>
      </c>
      <c r="N14" s="20">
        <f ca="1">'TR TUSD'!$N$14*'TR TUSD'!$N$60</f>
        <v>0</v>
      </c>
      <c r="O14" s="20">
        <f>'TR TUSD'!$O$14*'TR TUSD'!$O$60</f>
        <v>0</v>
      </c>
      <c r="P14" s="20">
        <f>'TR TUSD'!$P$14*'TR TUSD'!$P$60</f>
        <v>0</v>
      </c>
      <c r="Q14" s="20">
        <f>'TR TUSD'!$Q$14*'TR TUSD'!$Q$60</f>
        <v>0</v>
      </c>
      <c r="R14" s="20">
        <f>'TR TUSD'!$R$14*'TR TUSD'!$R$60</f>
        <v>0</v>
      </c>
      <c r="S14" s="20">
        <f>'TR TUSD'!$S$14*'TR TUSD'!$S$60</f>
        <v>0</v>
      </c>
      <c r="T14" s="20">
        <f ca="1">SUM($L$14:$S$14)</f>
        <v>1.895501911771645</v>
      </c>
      <c r="U14" s="20">
        <f>'TR TUSD'!$U$14*'TR TUSD'!$U$60</f>
        <v>0</v>
      </c>
      <c r="V14" s="20">
        <f>'TR TUSD'!$V$14*'TR TUSD'!$V$60</f>
        <v>0</v>
      </c>
      <c r="W14" s="20">
        <f>'TR TUSD'!$W$14*'TR TUSD'!$W$60</f>
        <v>0</v>
      </c>
      <c r="X14" s="20">
        <f>'TR TUSD'!$X$14*'TR TUSD'!$X$60</f>
        <v>0</v>
      </c>
      <c r="Y14" s="20">
        <f>'TR TUSD'!$Y$14*'TR TUSD'!$Y$60</f>
        <v>0</v>
      </c>
      <c r="Z14" s="20">
        <f>'TR TUSD'!$Z$14</f>
        <v>0</v>
      </c>
      <c r="AA14" s="20">
        <f>'TR TUSD'!$AA$14</f>
        <v>0</v>
      </c>
      <c r="AB14" s="20">
        <f>SUM($U$14:$AA$14)</f>
        <v>0</v>
      </c>
      <c r="AC14" s="20">
        <f>'TR TUSD'!$AC$14*'TR TUSD'!$AC$60</f>
        <v>0</v>
      </c>
      <c r="AD14" s="20">
        <f>SUM($AC$14:$AC$14)</f>
        <v>0</v>
      </c>
      <c r="AE14" s="20">
        <v>0</v>
      </c>
      <c r="AF14" s="20">
        <v>0</v>
      </c>
      <c r="AG14" s="20">
        <f>SUM($AE$14:$AF$14)</f>
        <v>0</v>
      </c>
      <c r="AH14" s="20">
        <f>'TR TUSD'!$AH$14*'TR TUSD'!$AH$60</f>
        <v>8.4400170909430834</v>
      </c>
      <c r="AI14" s="20">
        <f>'TR TUSD'!$AI$14*'TR TUSD'!$AI$60</f>
        <v>0</v>
      </c>
      <c r="AJ14" s="20">
        <f ca="1">'TR TUSD'!$AJ$14*'TR TUSD'!$AJ$60</f>
        <v>1.9199586836999847</v>
      </c>
      <c r="AK14" s="20">
        <f ca="1">'TR TUSD'!$AK$14*'TR TUSD'!$AK$60</f>
        <v>0</v>
      </c>
      <c r="AL14" s="20">
        <f ca="1">SUM($AH$14:$AK$14)</f>
        <v>10.359975774643068</v>
      </c>
      <c r="AM14" s="20">
        <f ca="1">SUMIF($L$4:$AL$4,"SUBTOTAL",$L$14:$AL$14)</f>
        <v>12.255477686414713</v>
      </c>
      <c r="AP14" s="20">
        <v>1</v>
      </c>
    </row>
    <row r="15" spans="1:42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22" t="s">
        <v>78</v>
      </c>
      <c r="F15" s="22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20">
        <f>'TR TUSD'!$L$15*'TR TUSD'!$L$60</f>
        <v>0</v>
      </c>
      <c r="M15" s="20">
        <f>'TR TUSD'!$M$15*'TR TUSD'!$M$60</f>
        <v>1.1686868428512054E-2</v>
      </c>
      <c r="N15" s="20">
        <f ca="1">'TR TUSD'!$N$15*'TR TUSD'!$N$60</f>
        <v>0</v>
      </c>
      <c r="O15" s="20">
        <f>'TR TUSD'!$O$15*'TR TUSD'!$O$60</f>
        <v>0</v>
      </c>
      <c r="P15" s="20">
        <f>'TR TUSD'!$P$15*'TR TUSD'!$P$60</f>
        <v>0</v>
      </c>
      <c r="Q15" s="20">
        <f>'TR TUSD'!$Q$15*'TR TUSD'!$Q$60</f>
        <v>0</v>
      </c>
      <c r="R15" s="20">
        <f>'TR TUSD'!$R$15*'TR TUSD'!$R$60</f>
        <v>0</v>
      </c>
      <c r="S15" s="20">
        <f>'TR TUSD'!$S$15*'TR TUSD'!$S$60</f>
        <v>0</v>
      </c>
      <c r="T15" s="20">
        <f ca="1">SUM($L$15:$S$15)</f>
        <v>1.1686868428512054E-2</v>
      </c>
      <c r="U15" s="20">
        <f>'TR TUSD'!$U$15*'TR TUSD'!$U$60</f>
        <v>0</v>
      </c>
      <c r="V15" s="20">
        <f>'TR TUSD'!$V$15*'TR TUSD'!$V$60</f>
        <v>0</v>
      </c>
      <c r="W15" s="20">
        <f>'TR TUSD'!$W$15*'TR TUSD'!$W$60</f>
        <v>0</v>
      </c>
      <c r="X15" s="20">
        <f>'TR TUSD'!$X$15*'TR TUSD'!$X$60</f>
        <v>0</v>
      </c>
      <c r="Y15" s="20">
        <f>'TR TUSD'!$Y$15*'TR TUSD'!$Y$60</f>
        <v>0</v>
      </c>
      <c r="Z15" s="20">
        <f>'TR TUSD'!$Z$15*'TR TUSD'!$Z$60</f>
        <v>0</v>
      </c>
      <c r="AA15" s="20">
        <f>'TR TUSD'!$AA$15*'TR TUSD'!$AA$60</f>
        <v>0</v>
      </c>
      <c r="AB15" s="20">
        <f>SUM($U$15:$AA$15)</f>
        <v>0</v>
      </c>
      <c r="AC15" s="20">
        <f>'TR TUSD'!$AC$15*'TR TUSD'!$AC$60</f>
        <v>3.5786499796335525</v>
      </c>
      <c r="AD15" s="20">
        <f>SUM($AC$15:$AC$15)</f>
        <v>3.5786499796335525</v>
      </c>
      <c r="AE15" s="20">
        <v>0</v>
      </c>
      <c r="AF15" s="20">
        <v>0</v>
      </c>
      <c r="AG15" s="20">
        <f>SUM($AE$15:$AF$15)</f>
        <v>0</v>
      </c>
      <c r="AH15" s="20">
        <f>'TR TUSD'!$AH$15*'TR TUSD'!$AH$60</f>
        <v>0</v>
      </c>
      <c r="AI15" s="20">
        <f>'TR TUSD'!$AI$15*'TR TUSD'!$AI$60</f>
        <v>0</v>
      </c>
      <c r="AJ15" s="20">
        <f ca="1">'TR TUSD'!$AJ$15*'TR TUSD'!$AJ$60</f>
        <v>0</v>
      </c>
      <c r="AK15" s="20">
        <f ca="1">'TR TUSD'!$AK$15*'TR TUSD'!$AK$60</f>
        <v>0</v>
      </c>
      <c r="AL15" s="20">
        <f ca="1">SUM($AH$15:$AK$15)</f>
        <v>0</v>
      </c>
      <c r="AM15" s="20">
        <f ca="1">SUMIF($L$4:$AL$4,"SUBTOTAL",$L$15:$AL$15)</f>
        <v>3.5903368480620643</v>
      </c>
      <c r="AP15" s="20"/>
    </row>
    <row r="16" spans="1:42" ht="11.25" customHeight="1" x14ac:dyDescent="0.3">
      <c r="A16" s="125"/>
      <c r="B16" s="125"/>
      <c r="C16" s="125"/>
      <c r="D16" s="125"/>
      <c r="E16" s="22" t="s">
        <v>79</v>
      </c>
      <c r="F16" s="22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20">
        <f>'TR TUSD'!$L$16*'TR TUSD'!$L$60</f>
        <v>0</v>
      </c>
      <c r="M16" s="20">
        <f>'TR TUSD'!$M$16*'TR TUSD'!$M$60</f>
        <v>1.1686868428512054E-2</v>
      </c>
      <c r="N16" s="20">
        <f ca="1">'TR TUSD'!$N$16*'TR TUSD'!$N$60</f>
        <v>0</v>
      </c>
      <c r="O16" s="20">
        <f>'TR TUSD'!$O$16*'TR TUSD'!$O$60</f>
        <v>0</v>
      </c>
      <c r="P16" s="20">
        <f>'TR TUSD'!$P$16*'TR TUSD'!$P$60</f>
        <v>0</v>
      </c>
      <c r="Q16" s="20">
        <f>'TR TUSD'!$Q$16*'TR TUSD'!$Q$60</f>
        <v>0</v>
      </c>
      <c r="R16" s="20">
        <f>'TR TUSD'!$R$16*'TR TUSD'!$R$60</f>
        <v>0</v>
      </c>
      <c r="S16" s="20">
        <f>'TR TUSD'!$S$16*'TR TUSD'!$S$60</f>
        <v>0</v>
      </c>
      <c r="T16" s="20">
        <f ca="1">SUM($L$16:$S$16)</f>
        <v>1.1686868428512054E-2</v>
      </c>
      <c r="U16" s="20">
        <f>'TR TUSD'!$U$16*'TR TUSD'!$U$60</f>
        <v>0</v>
      </c>
      <c r="V16" s="20">
        <f>'TR TUSD'!$V$16*'TR TUSD'!$V$60</f>
        <v>0</v>
      </c>
      <c r="W16" s="20">
        <f>'TR TUSD'!$W$16*'TR TUSD'!$W$60</f>
        <v>0</v>
      </c>
      <c r="X16" s="20">
        <f>'TR TUSD'!$X$16*'TR TUSD'!$X$60</f>
        <v>0</v>
      </c>
      <c r="Y16" s="20">
        <f>'TR TUSD'!$Y$16*'TR TUSD'!$Y$60</f>
        <v>0</v>
      </c>
      <c r="Z16" s="20">
        <f>'TR TUSD'!$Z$16*'TR TUSD'!$Z$60</f>
        <v>0</v>
      </c>
      <c r="AA16" s="20">
        <f>'TR TUSD'!$AA$16*'TR TUSD'!$AA$60</f>
        <v>0</v>
      </c>
      <c r="AB16" s="20">
        <f>SUM($U$16:$AA$16)</f>
        <v>0</v>
      </c>
      <c r="AC16" s="20">
        <f>'TR TUSD'!$AC$16*'TR TUSD'!$AC$60</f>
        <v>11.533741679723695</v>
      </c>
      <c r="AD16" s="20">
        <f>SUM($AC$16:$AC$16)</f>
        <v>11.533741679723695</v>
      </c>
      <c r="AE16" s="20">
        <v>0</v>
      </c>
      <c r="AF16" s="20">
        <v>0</v>
      </c>
      <c r="AG16" s="20">
        <f>SUM($AE$16:$AF$16)</f>
        <v>0</v>
      </c>
      <c r="AH16" s="20">
        <f>'TR TUSD'!$AH$16*'TR TUSD'!$AH$60</f>
        <v>0</v>
      </c>
      <c r="AI16" s="20">
        <f>'TR TUSD'!$AI$16*'TR TUSD'!$AI$60</f>
        <v>0</v>
      </c>
      <c r="AJ16" s="20">
        <f ca="1">'TR TUSD'!$AJ$16*'TR TUSD'!$AJ$60</f>
        <v>0</v>
      </c>
      <c r="AK16" s="20">
        <f ca="1">'TR TUSD'!$AK$16*'TR TUSD'!$AK$60</f>
        <v>0</v>
      </c>
      <c r="AL16" s="20">
        <f ca="1">SUM($AH$16:$AK$16)</f>
        <v>0</v>
      </c>
      <c r="AM16" s="20">
        <f ca="1">SUMIF($L$4:$AL$4,"SUBTOTAL",$L$16:$AL$16)</f>
        <v>11.545428548152207</v>
      </c>
      <c r="AP16" s="20"/>
    </row>
    <row r="17" spans="1:42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20">
        <f>'TR TUSD'!$L$17*'TR TUSD'!$L$60</f>
        <v>48.698907051497756</v>
      </c>
      <c r="M17" s="20">
        <f>'TR TUSD'!$M$17*'TR TUSD'!$M$60</f>
        <v>2.5344615588488981</v>
      </c>
      <c r="N17" s="20">
        <f ca="1">'TR TUSD'!$N$17*'TR TUSD'!$N$60</f>
        <v>0</v>
      </c>
      <c r="O17" s="20">
        <f>'TR TUSD'!$O$17*'TR TUSD'!$O$60</f>
        <v>0</v>
      </c>
      <c r="P17" s="20">
        <f>'TR TUSD'!$P$17*'TR TUSD'!$P$60</f>
        <v>0</v>
      </c>
      <c r="Q17" s="20">
        <f>'TR TUSD'!$Q$17*'TR TUSD'!$Q$60</f>
        <v>86.509846835570912</v>
      </c>
      <c r="R17" s="20">
        <f>'TR TUSD'!$R$17*'TR TUSD'!$R$60</f>
        <v>14.354023406416101</v>
      </c>
      <c r="S17" s="20">
        <f>'TR TUSD'!$S$17*'TR TUSD'!$S$60</f>
        <v>0</v>
      </c>
      <c r="T17" s="20">
        <f ca="1">SUM($L$17:$S$17)</f>
        <v>152.09723885233367</v>
      </c>
      <c r="U17" s="20">
        <f>'TR TUSD'!$U$17*'TR TUSD'!$U$60</f>
        <v>0</v>
      </c>
      <c r="V17" s="20">
        <f>'TR TUSD'!$V$17*'TR TUSD'!$V$60</f>
        <v>0</v>
      </c>
      <c r="W17" s="20">
        <f>'TR TUSD'!$W$17*'TR TUSD'!$W$60</f>
        <v>0</v>
      </c>
      <c r="X17" s="20">
        <f>'TR TUSD'!$X$17*'TR TUSD'!$X$60</f>
        <v>0</v>
      </c>
      <c r="Y17" s="20">
        <f>'TR TUSD'!$Y$17*'TR TUSD'!$Y$60</f>
        <v>852.89877669493444</v>
      </c>
      <c r="Z17" s="20">
        <f>'TR TUSD'!$Z$17</f>
        <v>0</v>
      </c>
      <c r="AA17" s="20">
        <f>'TR TUSD'!$AA$17</f>
        <v>0</v>
      </c>
      <c r="AB17" s="20">
        <f>SUM($U$17:$AA$17)</f>
        <v>852.89877669493444</v>
      </c>
      <c r="AC17" s="20">
        <f>'TR TUSD'!$AC$17*'TR TUSD'!$AC$60</f>
        <v>1472.4654900920491</v>
      </c>
      <c r="AD17" s="20">
        <f>SUM($AC$17:$AC$17)</f>
        <v>1472.4654900920491</v>
      </c>
      <c r="AE17" s="20">
        <v>0</v>
      </c>
      <c r="AF17" s="20">
        <v>0</v>
      </c>
      <c r="AG17" s="20">
        <f>SUM($AE$17:$AF$17)</f>
        <v>0</v>
      </c>
      <c r="AH17" s="20">
        <f>'TR TUSD'!$AH$17*'TR TUSD'!$AH$60</f>
        <v>18.256350949092976</v>
      </c>
      <c r="AI17" s="20">
        <f>'TR TUSD'!$AI$17*'TR TUSD'!$AI$60</f>
        <v>0</v>
      </c>
      <c r="AJ17" s="20">
        <f ca="1">'TR TUSD'!$AJ$17*'TR TUSD'!$AJ$60</f>
        <v>2.493291096681717</v>
      </c>
      <c r="AK17" s="20">
        <f ca="1">'TR TUSD'!$AK$17*'TR TUSD'!$AK$60</f>
        <v>0</v>
      </c>
      <c r="AL17" s="20">
        <f ca="1">SUM($AH$17:$AK$17)</f>
        <v>20.749642045774692</v>
      </c>
      <c r="AM17" s="20">
        <f ca="1">SUMIF($L$4:$AL$4,"SUBTOTAL",$L$17:$AL$17)</f>
        <v>2498.2111476850919</v>
      </c>
      <c r="AP17" s="20">
        <v>1</v>
      </c>
    </row>
    <row r="18" spans="1:42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20">
        <f>'TR TUSD'!$L$18*'TR TUSD'!$L$60</f>
        <v>48.698907051497756</v>
      </c>
      <c r="M18" s="20">
        <f>'TR TUSD'!$M$18*'TR TUSD'!$M$60</f>
        <v>2.5344615588488981</v>
      </c>
      <c r="N18" s="20">
        <f ca="1">'TR TUSD'!$N$18*'TR TUSD'!$N$60</f>
        <v>0</v>
      </c>
      <c r="O18" s="20">
        <f>'TR TUSD'!$O$18*'TR TUSD'!$O$60</f>
        <v>0</v>
      </c>
      <c r="P18" s="20">
        <f>'TR TUSD'!$P$18*'TR TUSD'!$P$60</f>
        <v>0</v>
      </c>
      <c r="Q18" s="20">
        <f>'TR TUSD'!$Q$18*'TR TUSD'!$Q$60</f>
        <v>86.509846835570912</v>
      </c>
      <c r="R18" s="20">
        <f>'TR TUSD'!$R$18*'TR TUSD'!$R$60</f>
        <v>14.354023406416101</v>
      </c>
      <c r="S18" s="20">
        <f>'TR TUSD'!$S$18*'TR TUSD'!$S$60</f>
        <v>0</v>
      </c>
      <c r="T18" s="20">
        <f ca="1">SUM($L$18:$S$18)</f>
        <v>152.09723885233367</v>
      </c>
      <c r="U18" s="20">
        <f>'TR TUSD'!$U$18*'TR TUSD'!$U$60</f>
        <v>0</v>
      </c>
      <c r="V18" s="20">
        <f>'TR TUSD'!$V$18*'TR TUSD'!$V$60</f>
        <v>0</v>
      </c>
      <c r="W18" s="20">
        <f>'TR TUSD'!$W$18*'TR TUSD'!$W$60</f>
        <v>0</v>
      </c>
      <c r="X18" s="20">
        <f>'TR TUSD'!$X$18*'TR TUSD'!$X$60</f>
        <v>0</v>
      </c>
      <c r="Y18" s="20">
        <f>'TR TUSD'!$Y$18*'TR TUSD'!$Y$60</f>
        <v>511.73792277919665</v>
      </c>
      <c r="Z18" s="20">
        <f>'TR TUSD'!$Z$18</f>
        <v>0</v>
      </c>
      <c r="AA18" s="20">
        <f>'TR TUSD'!$AA$18</f>
        <v>0</v>
      </c>
      <c r="AB18" s="20">
        <f>SUM($U$18:$AA$18)</f>
        <v>511.73792277919665</v>
      </c>
      <c r="AC18" s="20">
        <f>'TR TUSD'!$AC$18*'TR TUSD'!$AC$60</f>
        <v>883.47933837699293</v>
      </c>
      <c r="AD18" s="20">
        <f>SUM($AC$18:$AC$18)</f>
        <v>883.47933837699293</v>
      </c>
      <c r="AE18" s="20">
        <v>0</v>
      </c>
      <c r="AF18" s="20">
        <v>0</v>
      </c>
      <c r="AG18" s="20">
        <f>SUM($AE$18:$AF$18)</f>
        <v>0</v>
      </c>
      <c r="AH18" s="20">
        <f>'TR TUSD'!$AH$18*'TR TUSD'!$AH$60</f>
        <v>18.256350949092976</v>
      </c>
      <c r="AI18" s="20">
        <f>'TR TUSD'!$AI$18*'TR TUSD'!$AI$60</f>
        <v>0</v>
      </c>
      <c r="AJ18" s="20">
        <f ca="1">'TR TUSD'!$AJ$18*'TR TUSD'!$AJ$60</f>
        <v>2.493291096681717</v>
      </c>
      <c r="AK18" s="20">
        <f ca="1">'TR TUSD'!$AK$18*'TR TUSD'!$AK$60</f>
        <v>0</v>
      </c>
      <c r="AL18" s="20">
        <f ca="1">SUM($AH$18:$AK$18)</f>
        <v>20.749642045774692</v>
      </c>
      <c r="AM18" s="20">
        <f ca="1">SUMIF($L$4:$AL$4,"SUBTOTAL",$L$18:$AL$18)</f>
        <v>1568.0641420542979</v>
      </c>
      <c r="AP18" s="20">
        <v>1</v>
      </c>
    </row>
    <row r="19" spans="1:42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20">
        <f>'TR TUSD'!$L$19*'TR TUSD'!$L$60</f>
        <v>48.698907051497756</v>
      </c>
      <c r="M19" s="20">
        <f>'TR TUSD'!$M$19*'TR TUSD'!$M$60</f>
        <v>2.5344615588488981</v>
      </c>
      <c r="N19" s="20">
        <f ca="1">'TR TUSD'!$N$19*'TR TUSD'!$N$60</f>
        <v>0</v>
      </c>
      <c r="O19" s="20">
        <f>'TR TUSD'!$O$19*'TR TUSD'!$O$60</f>
        <v>0</v>
      </c>
      <c r="P19" s="20">
        <f>'TR TUSD'!$P$19*'TR TUSD'!$P$60</f>
        <v>0</v>
      </c>
      <c r="Q19" s="20">
        <f>'TR TUSD'!$Q$19*'TR TUSD'!$Q$60</f>
        <v>86.509846835570912</v>
      </c>
      <c r="R19" s="20">
        <f>'TR TUSD'!$R$19*'TR TUSD'!$R$60</f>
        <v>14.354023406416101</v>
      </c>
      <c r="S19" s="20">
        <f>'TR TUSD'!$S$19*'TR TUSD'!$S$60</f>
        <v>0</v>
      </c>
      <c r="T19" s="20">
        <f ca="1">SUM($L$19:$S$19)</f>
        <v>152.09723885233367</v>
      </c>
      <c r="U19" s="20">
        <f>'TR TUSD'!$U$19*'TR TUSD'!$U$60</f>
        <v>0</v>
      </c>
      <c r="V19" s="20">
        <f>'TR TUSD'!$V$19*'TR TUSD'!$V$60</f>
        <v>0</v>
      </c>
      <c r="W19" s="20">
        <f>'TR TUSD'!$W$19*'TR TUSD'!$W$60</f>
        <v>0</v>
      </c>
      <c r="X19" s="20">
        <f>'TR TUSD'!$X$19*'TR TUSD'!$X$60</f>
        <v>0</v>
      </c>
      <c r="Y19" s="20">
        <f>'TR TUSD'!$Y$19*'TR TUSD'!$Y$60</f>
        <v>170.58065855058678</v>
      </c>
      <c r="Z19" s="20">
        <f>'TR TUSD'!$Z$19</f>
        <v>0</v>
      </c>
      <c r="AA19" s="20">
        <f>'TR TUSD'!$AA$19</f>
        <v>0</v>
      </c>
      <c r="AB19" s="20">
        <f>SUM($U$19:$AA$19)</f>
        <v>170.58065855058678</v>
      </c>
      <c r="AC19" s="20">
        <f>'TR TUSD'!$AC$19*'TR TUSD'!$AC$60</f>
        <v>294.49318666193653</v>
      </c>
      <c r="AD19" s="20">
        <f>SUM($AC$19:$AC$19)</f>
        <v>294.49318666193653</v>
      </c>
      <c r="AE19" s="20">
        <v>0</v>
      </c>
      <c r="AF19" s="20">
        <v>0</v>
      </c>
      <c r="AG19" s="20">
        <f>SUM($AE$19:$AF$19)</f>
        <v>0</v>
      </c>
      <c r="AH19" s="20">
        <f>'TR TUSD'!$AH$19*'TR TUSD'!$AH$60</f>
        <v>18.256350949092976</v>
      </c>
      <c r="AI19" s="20">
        <f>'TR TUSD'!$AI$19*'TR TUSD'!$AI$60</f>
        <v>0</v>
      </c>
      <c r="AJ19" s="20">
        <f ca="1">'TR TUSD'!$AJ$19*'TR TUSD'!$AJ$60</f>
        <v>2.493291096681717</v>
      </c>
      <c r="AK19" s="20">
        <f ca="1">'TR TUSD'!$AK$19*'TR TUSD'!$AK$60</f>
        <v>0</v>
      </c>
      <c r="AL19" s="20">
        <f ca="1">SUM($AH$19:$AK$19)</f>
        <v>20.749642045774692</v>
      </c>
      <c r="AM19" s="20">
        <f ca="1">SUMIF($L$4:$AL$4,"SUBTOTAL",$L$19:$AL$19)</f>
        <v>637.92072611063168</v>
      </c>
      <c r="AP19" s="20">
        <v>1</v>
      </c>
    </row>
    <row r="20" spans="1:42" ht="11.25" customHeight="1" x14ac:dyDescent="0.3">
      <c r="A20" s="125"/>
      <c r="B20" s="125" t="s">
        <v>23</v>
      </c>
      <c r="C20" s="125" t="s">
        <v>24</v>
      </c>
      <c r="D20" s="22" t="s">
        <v>24</v>
      </c>
      <c r="E20" s="22" t="s">
        <v>25</v>
      </c>
      <c r="F20" s="22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20">
        <f>'TR TUSD'!$L$20*'TR TUSD'!$L$60</f>
        <v>48.698907051497756</v>
      </c>
      <c r="M20" s="20">
        <f>'TR TUSD'!$M$20*'TR TUSD'!$M$60</f>
        <v>2.5344615588488981</v>
      </c>
      <c r="N20" s="20">
        <f ca="1">'TR TUSD'!$N$20*'TR TUSD'!$N$60</f>
        <v>0</v>
      </c>
      <c r="O20" s="20">
        <f>'TR TUSD'!$O$20*'TR TUSD'!$O$60</f>
        <v>0</v>
      </c>
      <c r="P20" s="20">
        <f>'TR TUSD'!$P$20*'TR TUSD'!$P$60</f>
        <v>0</v>
      </c>
      <c r="Q20" s="20">
        <f>'TR TUSD'!$Q$20*'TR TUSD'!$Q$60</f>
        <v>86.509846835570912</v>
      </c>
      <c r="R20" s="20">
        <f>'TR TUSD'!$R$20*'TR TUSD'!$R$60</f>
        <v>14.354023406416101</v>
      </c>
      <c r="S20" s="20">
        <f>'TR TUSD'!$S$20*'TR TUSD'!$S$60</f>
        <v>0</v>
      </c>
      <c r="T20" s="20">
        <f ca="1">SUM($L$20:$S$20)</f>
        <v>152.09723885233367</v>
      </c>
      <c r="U20" s="20">
        <f>'TR TUSD'!$U$20*'TR TUSD'!$U$60</f>
        <v>0</v>
      </c>
      <c r="V20" s="20">
        <f>'TR TUSD'!$V$20*'TR TUSD'!$V$60</f>
        <v>0</v>
      </c>
      <c r="W20" s="20">
        <f>'TR TUSD'!$W$20*'TR TUSD'!$W$60</f>
        <v>0</v>
      </c>
      <c r="X20" s="20">
        <f>'TR TUSD'!$X$20*'TR TUSD'!$X$60</f>
        <v>0</v>
      </c>
      <c r="Y20" s="20">
        <f>'TR TUSD'!$Y$20*'TR TUSD'!$Y$60</f>
        <v>294.10376115446178</v>
      </c>
      <c r="Z20" s="20">
        <f>'TR TUSD'!$Z$20</f>
        <v>0</v>
      </c>
      <c r="AA20" s="20">
        <f>'TR TUSD'!$AA$20</f>
        <v>0</v>
      </c>
      <c r="AB20" s="20">
        <f>SUM($U$20:$AA$20)</f>
        <v>294.10376115446178</v>
      </c>
      <c r="AC20" s="20">
        <f>'TR TUSD'!$AC$20*'TR TUSD'!$AC$60</f>
        <v>507.74668633382123</v>
      </c>
      <c r="AD20" s="20">
        <f>SUM($AC$20:$AC$20)</f>
        <v>507.74668633382123</v>
      </c>
      <c r="AE20" s="20">
        <v>0</v>
      </c>
      <c r="AF20" s="20">
        <v>0</v>
      </c>
      <c r="AG20" s="20">
        <f>SUM($AE$20:$AF$20)</f>
        <v>0</v>
      </c>
      <c r="AH20" s="20">
        <f>'TR TUSD'!$AH$20*'TR TUSD'!$AH$60</f>
        <v>18.256350949092976</v>
      </c>
      <c r="AI20" s="20">
        <f>'TR TUSD'!$AI$20*'TR TUSD'!$AI$60</f>
        <v>0</v>
      </c>
      <c r="AJ20" s="20">
        <f ca="1">'TR TUSD'!$AJ$20*'TR TUSD'!$AJ$60</f>
        <v>2.493291096681717</v>
      </c>
      <c r="AK20" s="20">
        <f ca="1">'TR TUSD'!$AK$20*'TR TUSD'!$AK$60</f>
        <v>0</v>
      </c>
      <c r="AL20" s="20">
        <f ca="1">SUM($AH$20:$AK$20)</f>
        <v>20.749642045774692</v>
      </c>
      <c r="AM20" s="20">
        <f ca="1">SUMIF($L$4:$AL$4,"SUBTOTAL",$L$20:$AL$20)</f>
        <v>974.69732838639129</v>
      </c>
      <c r="AP20" s="20">
        <v>1</v>
      </c>
    </row>
    <row r="21" spans="1:42" ht="11.25" customHeight="1" x14ac:dyDescent="0.3">
      <c r="A21" s="125"/>
      <c r="B21" s="125"/>
      <c r="C21" s="125"/>
      <c r="D21" s="22" t="s">
        <v>29</v>
      </c>
      <c r="E21" s="22" t="s">
        <v>25</v>
      </c>
      <c r="F21" s="22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20">
        <f>'TR TUSD'!$L$21*'TR TUSD'!$L$60</f>
        <v>0</v>
      </c>
      <c r="M21" s="20">
        <f>'TR TUSD'!$M$21*'TR TUSD'!$M$60</f>
        <v>2.5344615588488981</v>
      </c>
      <c r="N21" s="20">
        <f ca="1">'TR TUSD'!$N$21*'TR TUSD'!$N$60</f>
        <v>0</v>
      </c>
      <c r="O21" s="20">
        <f>'TR TUSD'!$O$21*'TR TUSD'!$O$60</f>
        <v>0</v>
      </c>
      <c r="P21" s="20">
        <f>'TR TUSD'!$P$21*'TR TUSD'!$P$60</f>
        <v>0</v>
      </c>
      <c r="Q21" s="20">
        <f>'TR TUSD'!$Q$21*'TR TUSD'!$Q$60</f>
        <v>0</v>
      </c>
      <c r="R21" s="20">
        <f>'TR TUSD'!$R$21*'TR TUSD'!$R$60</f>
        <v>0</v>
      </c>
      <c r="S21" s="20">
        <f>'TR TUSD'!$S$21*'TR TUSD'!$S$60</f>
        <v>0</v>
      </c>
      <c r="T21" s="20">
        <f ca="1">SUM($L$21:$S$21)</f>
        <v>2.5344615588488981</v>
      </c>
      <c r="U21" s="20">
        <f>'TR TUSD'!$U$21*'TR TUSD'!$U$60</f>
        <v>0</v>
      </c>
      <c r="V21" s="20">
        <f>'TR TUSD'!$V$21*'TR TUSD'!$V$60</f>
        <v>0</v>
      </c>
      <c r="W21" s="20">
        <f>'TR TUSD'!$W$21*'TR TUSD'!$W$60</f>
        <v>0</v>
      </c>
      <c r="X21" s="20">
        <f>'TR TUSD'!$X$21*'TR TUSD'!$X$60</f>
        <v>0</v>
      </c>
      <c r="Y21" s="20">
        <f>'TR TUSD'!$Y$21*'TR TUSD'!$Y$60</f>
        <v>294.10376115446178</v>
      </c>
      <c r="Z21" s="20">
        <f>'TR TUSD'!$Z$21</f>
        <v>0</v>
      </c>
      <c r="AA21" s="20">
        <f>'TR TUSD'!$AA$21</f>
        <v>0</v>
      </c>
      <c r="AB21" s="20">
        <f>SUM($U$21:$AA$21)</f>
        <v>294.10376115446178</v>
      </c>
      <c r="AC21" s="20">
        <f>'TR TUSD'!$AC$21*'TR TUSD'!$AC$60</f>
        <v>507.74668633382123</v>
      </c>
      <c r="AD21" s="20">
        <f>SUM($AC$21:$AC$21)</f>
        <v>507.74668633382123</v>
      </c>
      <c r="AE21" s="20">
        <v>0</v>
      </c>
      <c r="AF21" s="20">
        <v>0</v>
      </c>
      <c r="AG21" s="20">
        <f>SUM($AE$21:$AF$21)</f>
        <v>0</v>
      </c>
      <c r="AH21" s="20">
        <f>'TR TUSD'!$AH$21*'TR TUSD'!$AH$60</f>
        <v>18.256350949092976</v>
      </c>
      <c r="AI21" s="20">
        <f>'TR TUSD'!$AI$21*'TR TUSD'!$AI$60</f>
        <v>0</v>
      </c>
      <c r="AJ21" s="20">
        <f ca="1">'TR TUSD'!$AJ$21*'TR TUSD'!$AJ$60</f>
        <v>2.493291096681717</v>
      </c>
      <c r="AK21" s="20">
        <f ca="1">'TR TUSD'!$AK$21*'TR TUSD'!$AK$60</f>
        <v>0</v>
      </c>
      <c r="AL21" s="20">
        <f ca="1">SUM($AH$21:$AK$21)</f>
        <v>20.749642045774692</v>
      </c>
      <c r="AM21" s="20">
        <f ca="1">SUMIF($L$4:$AL$4,"SUBTOTAL",$L$21:$AL$21)</f>
        <v>825.13455109290658</v>
      </c>
      <c r="AP21" s="20">
        <f>IF((1 - CUSTOS!$M$24)&lt;&gt;0,1/(1 - CUSTOS!$M$24),1)</f>
        <v>1</v>
      </c>
    </row>
    <row r="22" spans="1:42" ht="11.25" customHeight="1" x14ac:dyDescent="0.3">
      <c r="A22" s="125"/>
      <c r="B22" s="125"/>
      <c r="C22" s="125"/>
      <c r="D22" s="22" t="s">
        <v>30</v>
      </c>
      <c r="E22" s="22" t="s">
        <v>25</v>
      </c>
      <c r="F22" s="22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20">
        <f>'TR TUSD'!$L$22*'TR TUSD'!$L$60</f>
        <v>0</v>
      </c>
      <c r="M22" s="20">
        <f>'TR TUSD'!$M$22*'TR TUSD'!$M$60</f>
        <v>2.5344615588488981</v>
      </c>
      <c r="N22" s="20">
        <f ca="1">'TR TUSD'!$N$22*'TR TUSD'!$N$60</f>
        <v>0</v>
      </c>
      <c r="O22" s="20">
        <f>'TR TUSD'!$O$22*'TR TUSD'!$O$60</f>
        <v>0</v>
      </c>
      <c r="P22" s="20">
        <f>'TR TUSD'!$P$22*'TR TUSD'!$P$60</f>
        <v>0</v>
      </c>
      <c r="Q22" s="20">
        <f>'TR TUSD'!$Q$22*'TR TUSD'!$Q$60</f>
        <v>0</v>
      </c>
      <c r="R22" s="20">
        <f>'TR TUSD'!$R$22*'TR TUSD'!$R$60</f>
        <v>0</v>
      </c>
      <c r="S22" s="20">
        <f>'TR TUSD'!$S$22*'TR TUSD'!$S$60</f>
        <v>0</v>
      </c>
      <c r="T22" s="20">
        <f ca="1">SUM($L$22:$S$22)</f>
        <v>2.5344615588488981</v>
      </c>
      <c r="U22" s="20">
        <f>'TR TUSD'!$U$22*'TR TUSD'!$U$60</f>
        <v>0</v>
      </c>
      <c r="V22" s="20">
        <f>'TR TUSD'!$V$22*'TR TUSD'!$V$60</f>
        <v>0</v>
      </c>
      <c r="W22" s="20">
        <f>'TR TUSD'!$W$22*'TR TUSD'!$W$60</f>
        <v>0</v>
      </c>
      <c r="X22" s="20">
        <f>'TR TUSD'!$X$22*'TR TUSD'!$X$60</f>
        <v>0</v>
      </c>
      <c r="Y22" s="20">
        <f>'TR TUSD'!$Y$22*'TR TUSD'!$Y$60</f>
        <v>294.10376115446178</v>
      </c>
      <c r="Z22" s="20">
        <f>'TR TUSD'!$Z$22</f>
        <v>0</v>
      </c>
      <c r="AA22" s="20">
        <f>'TR TUSD'!$AA$22</f>
        <v>0</v>
      </c>
      <c r="AB22" s="20">
        <f>SUM($U$22:$AA$22)</f>
        <v>294.10376115446178</v>
      </c>
      <c r="AC22" s="20">
        <f>'TR TUSD'!$AC$22*'TR TUSD'!$AC$60</f>
        <v>507.74668633382123</v>
      </c>
      <c r="AD22" s="20">
        <f>SUM($AC$22:$AC$22)</f>
        <v>507.74668633382123</v>
      </c>
      <c r="AE22" s="20">
        <v>0</v>
      </c>
      <c r="AF22" s="20">
        <v>0</v>
      </c>
      <c r="AG22" s="20">
        <f>SUM($AE$22:$AF$22)</f>
        <v>0</v>
      </c>
      <c r="AH22" s="20">
        <f>'TR TUSD'!$AH$22*'TR TUSD'!$AH$60</f>
        <v>18.256350949092976</v>
      </c>
      <c r="AI22" s="20">
        <f>'TR TUSD'!$AI$22*'TR TUSD'!$AI$60</f>
        <v>0</v>
      </c>
      <c r="AJ22" s="20">
        <f ca="1">'TR TUSD'!$AJ$22*'TR TUSD'!$AJ$60</f>
        <v>2.493291096681717</v>
      </c>
      <c r="AK22" s="20">
        <f ca="1">'TR TUSD'!$AK$22*'TR TUSD'!$AK$60</f>
        <v>0</v>
      </c>
      <c r="AL22" s="20">
        <f ca="1">SUM($AH$22:$AK$22)</f>
        <v>20.749642045774692</v>
      </c>
      <c r="AM22" s="20">
        <f ca="1">SUMIF($L$4:$AL$4,"SUBTOTAL",$L$22:$AL$22)</f>
        <v>825.13455109290658</v>
      </c>
      <c r="AP22" s="20">
        <f>IF((1 - CUSTOS!$M$25)&lt;&gt;0,1/(1 - CUSTOS!$M$25),1)</f>
        <v>1</v>
      </c>
    </row>
    <row r="23" spans="1:42" ht="11.25" customHeight="1" x14ac:dyDescent="0.3">
      <c r="A23" s="125"/>
      <c r="B23" s="125"/>
      <c r="C23" s="125"/>
      <c r="D23" s="22" t="s">
        <v>31</v>
      </c>
      <c r="E23" s="22" t="s">
        <v>25</v>
      </c>
      <c r="F23" s="22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20">
        <f>'TR TUSD'!$L$23*'TR TUSD'!$L$60</f>
        <v>0</v>
      </c>
      <c r="M23" s="20">
        <f>'TR TUSD'!$M$23*'TR TUSD'!$M$60</f>
        <v>2.5344615588488981</v>
      </c>
      <c r="N23" s="20">
        <f ca="1">'TR TUSD'!$N$23*'TR TUSD'!$N$60</f>
        <v>0</v>
      </c>
      <c r="O23" s="20">
        <f>'TR TUSD'!$O$23*'TR TUSD'!$O$60</f>
        <v>0</v>
      </c>
      <c r="P23" s="20">
        <f>'TR TUSD'!$P$23*'TR TUSD'!$P$60</f>
        <v>0</v>
      </c>
      <c r="Q23" s="20">
        <f>'TR TUSD'!$Q$23*'TR TUSD'!$Q$60</f>
        <v>0</v>
      </c>
      <c r="R23" s="20">
        <f>'TR TUSD'!$R$23*'TR TUSD'!$R$60</f>
        <v>0</v>
      </c>
      <c r="S23" s="20">
        <f>'TR TUSD'!$S$23*'TR TUSD'!$S$60</f>
        <v>0</v>
      </c>
      <c r="T23" s="20">
        <f ca="1">SUM($L$23:$S$23)</f>
        <v>2.5344615588488981</v>
      </c>
      <c r="U23" s="20">
        <f>'TR TUSD'!$U$23*'TR TUSD'!$U$60</f>
        <v>0</v>
      </c>
      <c r="V23" s="20">
        <f>'TR TUSD'!$V$23*'TR TUSD'!$V$60</f>
        <v>0</v>
      </c>
      <c r="W23" s="20">
        <f>'TR TUSD'!$W$23*'TR TUSD'!$W$60</f>
        <v>0</v>
      </c>
      <c r="X23" s="20">
        <f>'TR TUSD'!$X$23*'TR TUSD'!$X$60</f>
        <v>0</v>
      </c>
      <c r="Y23" s="20">
        <f>'TR TUSD'!$Y$23*'TR TUSD'!$Y$60</f>
        <v>294.10376115446178</v>
      </c>
      <c r="Z23" s="20">
        <f>'TR TUSD'!$Z$23</f>
        <v>0</v>
      </c>
      <c r="AA23" s="20">
        <f>'TR TUSD'!$AA$23</f>
        <v>0</v>
      </c>
      <c r="AB23" s="20">
        <f>SUM($U$23:$AA$23)</f>
        <v>294.10376115446178</v>
      </c>
      <c r="AC23" s="20">
        <f>'TR TUSD'!$AC$23*'TR TUSD'!$AC$60</f>
        <v>507.74668633382123</v>
      </c>
      <c r="AD23" s="20">
        <f>SUM($AC$23:$AC$23)</f>
        <v>507.74668633382123</v>
      </c>
      <c r="AE23" s="20">
        <v>0</v>
      </c>
      <c r="AF23" s="20">
        <v>0</v>
      </c>
      <c r="AG23" s="20">
        <f>SUM($AE$23:$AF$23)</f>
        <v>0</v>
      </c>
      <c r="AH23" s="20">
        <f>'TR TUSD'!$AH$23*'TR TUSD'!$AH$60</f>
        <v>18.256350949092976</v>
      </c>
      <c r="AI23" s="20">
        <f>'TR TUSD'!$AI$23*'TR TUSD'!$AI$60</f>
        <v>0</v>
      </c>
      <c r="AJ23" s="20">
        <f ca="1">'TR TUSD'!$AJ$23*'TR TUSD'!$AJ$60</f>
        <v>2.493291096681717</v>
      </c>
      <c r="AK23" s="20">
        <f ca="1">'TR TUSD'!$AK$23*'TR TUSD'!$AK$60</f>
        <v>0</v>
      </c>
      <c r="AL23" s="20">
        <f ca="1">SUM($AH$23:$AK$23)</f>
        <v>20.749642045774692</v>
      </c>
      <c r="AM23" s="20">
        <f ca="1">SUMIF($L$4:$AL$4,"SUBTOTAL",$L$23:$AL$23)</f>
        <v>825.13455109290658</v>
      </c>
      <c r="AP23" s="20">
        <f>IF((1 - CUSTOS!$M$26)&lt;&gt;0,1/(1 - CUSTOS!$M$26),1)</f>
        <v>1</v>
      </c>
    </row>
    <row r="24" spans="1:42" ht="11.25" customHeight="1" x14ac:dyDescent="0.3">
      <c r="A24" s="125"/>
      <c r="B24" s="125"/>
      <c r="C24" s="125"/>
      <c r="D24" s="22" t="s">
        <v>32</v>
      </c>
      <c r="E24" s="22" t="s">
        <v>25</v>
      </c>
      <c r="F24" s="22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20">
        <f>'TR TUSD'!$L$24*'TR TUSD'!$L$60</f>
        <v>0</v>
      </c>
      <c r="M24" s="20">
        <f>'TR TUSD'!$M$24*'TR TUSD'!$M$60</f>
        <v>2.5344615588488981</v>
      </c>
      <c r="N24" s="20">
        <f ca="1">'TR TUSD'!$N$24*'TR TUSD'!$N$60</f>
        <v>0</v>
      </c>
      <c r="O24" s="20">
        <f>'TR TUSD'!$O$24*'TR TUSD'!$O$60</f>
        <v>0</v>
      </c>
      <c r="P24" s="20">
        <f>'TR TUSD'!$P$24*'TR TUSD'!$P$60</f>
        <v>0</v>
      </c>
      <c r="Q24" s="20">
        <f>'TR TUSD'!$Q$24*'TR TUSD'!$Q$60</f>
        <v>0</v>
      </c>
      <c r="R24" s="20">
        <f>'TR TUSD'!$R$24*'TR TUSD'!$R$60</f>
        <v>0</v>
      </c>
      <c r="S24" s="20">
        <f>'TR TUSD'!$S$24*'TR TUSD'!$S$60</f>
        <v>0</v>
      </c>
      <c r="T24" s="20">
        <f ca="1">SUM($L$24:$S$24)</f>
        <v>2.5344615588488981</v>
      </c>
      <c r="U24" s="20">
        <f>'TR TUSD'!$U$24*'TR TUSD'!$U$60</f>
        <v>0</v>
      </c>
      <c r="V24" s="20">
        <f>'TR TUSD'!$V$24*'TR TUSD'!$V$60</f>
        <v>0</v>
      </c>
      <c r="W24" s="20">
        <f>'TR TUSD'!$W$24*'TR TUSD'!$W$60</f>
        <v>0</v>
      </c>
      <c r="X24" s="20">
        <f>'TR TUSD'!$X$24*'TR TUSD'!$X$60</f>
        <v>0</v>
      </c>
      <c r="Y24" s="20">
        <f>'TR TUSD'!$Y$24*'TR TUSD'!$Y$60</f>
        <v>294.10376115446178</v>
      </c>
      <c r="Z24" s="20">
        <f>'TR TUSD'!$Z$24</f>
        <v>0</v>
      </c>
      <c r="AA24" s="20">
        <f>'TR TUSD'!$AA$24</f>
        <v>0</v>
      </c>
      <c r="AB24" s="20">
        <f>SUM($U$24:$AA$24)</f>
        <v>294.10376115446178</v>
      </c>
      <c r="AC24" s="20">
        <f>'TR TUSD'!$AC$24*'TR TUSD'!$AC$60</f>
        <v>507.74668633382123</v>
      </c>
      <c r="AD24" s="20">
        <f>SUM($AC$24:$AC$24)</f>
        <v>507.74668633382123</v>
      </c>
      <c r="AE24" s="20">
        <v>0</v>
      </c>
      <c r="AF24" s="20">
        <v>0</v>
      </c>
      <c r="AG24" s="20">
        <f>SUM($AE$24:$AF$24)</f>
        <v>0</v>
      </c>
      <c r="AH24" s="20">
        <f>'TR TUSD'!$AH$24*'TR TUSD'!$AH$60</f>
        <v>18.256350949092976</v>
      </c>
      <c r="AI24" s="20">
        <f>'TR TUSD'!$AI$24*'TR TUSD'!$AI$60</f>
        <v>0</v>
      </c>
      <c r="AJ24" s="20">
        <f ca="1">'TR TUSD'!$AJ$24*'TR TUSD'!$AJ$60</f>
        <v>2.493291096681717</v>
      </c>
      <c r="AK24" s="20">
        <f ca="1">'TR TUSD'!$AK$24*'TR TUSD'!$AK$60</f>
        <v>0</v>
      </c>
      <c r="AL24" s="20">
        <f ca="1">SUM($AH$24:$AK$24)</f>
        <v>20.749642045774692</v>
      </c>
      <c r="AM24" s="20">
        <f ca="1">SUMIF($L$4:$AL$4,"SUBTOTAL",$L$24:$AL$24)</f>
        <v>825.13455109290658</v>
      </c>
      <c r="AP24" s="20">
        <f>IF((1 - CUSTOS!$M$27)&lt;&gt;0,1/(1 - CUSTOS!$M$27),1)</f>
        <v>1</v>
      </c>
    </row>
    <row r="25" spans="1:42" ht="11.25" customHeight="1" x14ac:dyDescent="0.3">
      <c r="A25" s="125"/>
      <c r="B25" s="125" t="s">
        <v>84</v>
      </c>
      <c r="C25" s="125" t="s">
        <v>24</v>
      </c>
      <c r="D25" s="22" t="s">
        <v>24</v>
      </c>
      <c r="E25" s="22" t="s">
        <v>25</v>
      </c>
      <c r="F25" s="22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20">
        <f>'TR TUSD'!$L$25*'TR TUSD'!$L$60</f>
        <v>48.698907051497756</v>
      </c>
      <c r="M25" s="20">
        <f>'TR TUSD'!$M$25*'TR TUSD'!$M$60</f>
        <v>2.5344615588488981</v>
      </c>
      <c r="N25" s="20">
        <f ca="1">'TR TUSD'!$N$25*'TR TUSD'!$N$60</f>
        <v>0</v>
      </c>
      <c r="O25" s="20">
        <f>'TR TUSD'!$O$25*'TR TUSD'!$O$60</f>
        <v>0</v>
      </c>
      <c r="P25" s="20">
        <f>'TR TUSD'!$P$25*'TR TUSD'!$P$60</f>
        <v>0</v>
      </c>
      <c r="Q25" s="20">
        <f>'TR TUSD'!$Q$25*'TR TUSD'!$Q$60</f>
        <v>86.509846835570912</v>
      </c>
      <c r="R25" s="20">
        <f>'TR TUSD'!$R$25*'TR TUSD'!$R$60</f>
        <v>14.354023406416101</v>
      </c>
      <c r="S25" s="20">
        <f>'TR TUSD'!$S$25*'TR TUSD'!$S$60</f>
        <v>0</v>
      </c>
      <c r="T25" s="20">
        <f ca="1">SUM($L$25:$S$25)</f>
        <v>152.09723885233367</v>
      </c>
      <c r="U25" s="20">
        <f>'TR TUSD'!$U$25*'TR TUSD'!$U$60</f>
        <v>0</v>
      </c>
      <c r="V25" s="20">
        <f>'TR TUSD'!$V$25*'TR TUSD'!$V$60</f>
        <v>0</v>
      </c>
      <c r="W25" s="20">
        <f>'TR TUSD'!$W$25*'TR TUSD'!$W$60</f>
        <v>0</v>
      </c>
      <c r="X25" s="20">
        <f>'TR TUSD'!$X$25*'TR TUSD'!$X$60</f>
        <v>0</v>
      </c>
      <c r="Y25" s="20">
        <f>'TR TUSD'!$Y$25*'TR TUSD'!$Y$60</f>
        <v>294.10376115446178</v>
      </c>
      <c r="Z25" s="20">
        <f>'TR TUSD'!$Z$25</f>
        <v>0</v>
      </c>
      <c r="AA25" s="20">
        <f>'TR TUSD'!$AA$25</f>
        <v>0</v>
      </c>
      <c r="AB25" s="20">
        <f>SUM($U$25:$AA$25)</f>
        <v>294.10376115446178</v>
      </c>
      <c r="AC25" s="20">
        <f>'TR TUSD'!$AC$25*'TR TUSD'!$AC$60</f>
        <v>507.74668633382123</v>
      </c>
      <c r="AD25" s="20">
        <f>SUM($AC$25:$AC$25)</f>
        <v>507.74668633382123</v>
      </c>
      <c r="AE25" s="20">
        <v>0</v>
      </c>
      <c r="AF25" s="20">
        <v>0</v>
      </c>
      <c r="AG25" s="20">
        <f>SUM($AE$25:$AF$25)</f>
        <v>0</v>
      </c>
      <c r="AH25" s="20">
        <f>'TR TUSD'!$AH$25*'TR TUSD'!$AH$60</f>
        <v>18.256350949092976</v>
      </c>
      <c r="AI25" s="20">
        <f>'TR TUSD'!$AI$25*'TR TUSD'!$AI$60</f>
        <v>0</v>
      </c>
      <c r="AJ25" s="20">
        <f ca="1">'TR TUSD'!$AJ$25*'TR TUSD'!$AJ$60</f>
        <v>2.493291096681717</v>
      </c>
      <c r="AK25" s="20">
        <f ca="1">'TR TUSD'!$AK$25*'TR TUSD'!$AK$60</f>
        <v>0</v>
      </c>
      <c r="AL25" s="20">
        <f ca="1">SUM($AH$25:$AK$25)</f>
        <v>20.749642045774692</v>
      </c>
      <c r="AM25" s="20">
        <f ca="1">SUMIF($L$4:$AL$4,"SUBTOTAL",$L$25:$AL$25)</f>
        <v>974.69732838639129</v>
      </c>
      <c r="AP25" s="20">
        <v>1</v>
      </c>
    </row>
    <row r="26" spans="1:42" ht="11.25" customHeight="1" x14ac:dyDescent="0.3">
      <c r="A26" s="125"/>
      <c r="B26" s="125"/>
      <c r="C26" s="125"/>
      <c r="D26" s="22" t="s">
        <v>29</v>
      </c>
      <c r="E26" s="22" t="s">
        <v>25</v>
      </c>
      <c r="F26" s="22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20">
        <f>'TR TUSD'!$L$26*'TR TUSD'!$L$60</f>
        <v>0</v>
      </c>
      <c r="M26" s="20">
        <f>'TR TUSD'!$M$26*'TR TUSD'!$M$60</f>
        <v>2.5344615588488981</v>
      </c>
      <c r="N26" s="20">
        <f ca="1">'TR TUSD'!$N$26*'TR TUSD'!$N$60</f>
        <v>0</v>
      </c>
      <c r="O26" s="20">
        <f>'TR TUSD'!$O$26*'TR TUSD'!$O$60</f>
        <v>0</v>
      </c>
      <c r="P26" s="20">
        <f>'TR TUSD'!$P$26*'TR TUSD'!$P$60</f>
        <v>0</v>
      </c>
      <c r="Q26" s="20">
        <f>'TR TUSD'!$Q$26*'TR TUSD'!$Q$60</f>
        <v>0</v>
      </c>
      <c r="R26" s="20">
        <f>'TR TUSD'!$R$26*'TR TUSD'!$R$60</f>
        <v>0</v>
      </c>
      <c r="S26" s="20">
        <f>'TR TUSD'!$S$26*'TR TUSD'!$S$60</f>
        <v>0</v>
      </c>
      <c r="T26" s="20">
        <f ca="1">SUM($L$26:$S$26)</f>
        <v>2.5344615588488981</v>
      </c>
      <c r="U26" s="20">
        <f>'TR TUSD'!$U$26*'TR TUSD'!$U$60</f>
        <v>0</v>
      </c>
      <c r="V26" s="20">
        <f>'TR TUSD'!$V$26*'TR TUSD'!$V$60</f>
        <v>0</v>
      </c>
      <c r="W26" s="20">
        <f>'TR TUSD'!$W$26*'TR TUSD'!$W$60</f>
        <v>0</v>
      </c>
      <c r="X26" s="20">
        <f>'TR TUSD'!$X$26*'TR TUSD'!$X$60</f>
        <v>0</v>
      </c>
      <c r="Y26" s="20">
        <f>'TR TUSD'!$Y$26*'TR TUSD'!$Y$60</f>
        <v>294.10376115446178</v>
      </c>
      <c r="Z26" s="20">
        <f>'TR TUSD'!$Z$26</f>
        <v>0</v>
      </c>
      <c r="AA26" s="20">
        <f>'TR TUSD'!$AA$26</f>
        <v>0</v>
      </c>
      <c r="AB26" s="20">
        <f>SUM($U$26:$AA$26)</f>
        <v>294.10376115446178</v>
      </c>
      <c r="AC26" s="20">
        <f>'TR TUSD'!$AC$26*'TR TUSD'!$AC$60</f>
        <v>507.74668633382123</v>
      </c>
      <c r="AD26" s="20">
        <f>SUM($AC$26:$AC$26)</f>
        <v>507.74668633382123</v>
      </c>
      <c r="AE26" s="20">
        <v>0</v>
      </c>
      <c r="AF26" s="20">
        <v>0</v>
      </c>
      <c r="AG26" s="20">
        <f>SUM($AE$26:$AF$26)</f>
        <v>0</v>
      </c>
      <c r="AH26" s="20">
        <f>'TR TUSD'!$AH$26*'TR TUSD'!$AH$60</f>
        <v>18.256350949092976</v>
      </c>
      <c r="AI26" s="20">
        <f>'TR TUSD'!$AI$26*'TR TUSD'!$AI$60</f>
        <v>0</v>
      </c>
      <c r="AJ26" s="20">
        <f ca="1">'TR TUSD'!$AJ$26*'TR TUSD'!$AJ$60</f>
        <v>2.493291096681717</v>
      </c>
      <c r="AK26" s="20">
        <f ca="1">'TR TUSD'!$AK$26*'TR TUSD'!$AK$60</f>
        <v>0</v>
      </c>
      <c r="AL26" s="20">
        <f ca="1">SUM($AH$26:$AK$26)</f>
        <v>20.749642045774692</v>
      </c>
      <c r="AM26" s="20">
        <f ca="1">SUMIF($L$4:$AL$4,"SUBTOTAL",$L$26:$AL$26)</f>
        <v>825.13455109290658</v>
      </c>
      <c r="AP26" s="20">
        <f>IF((1 - CUSTOS!$M$24)&lt;&gt;0,1/(1 - CUSTOS!$M$24),1)</f>
        <v>1</v>
      </c>
    </row>
    <row r="27" spans="1:42" ht="11.25" customHeight="1" x14ac:dyDescent="0.3">
      <c r="A27" s="125"/>
      <c r="B27" s="125"/>
      <c r="C27" s="125"/>
      <c r="D27" s="22" t="s">
        <v>30</v>
      </c>
      <c r="E27" s="22" t="s">
        <v>25</v>
      </c>
      <c r="F27" s="22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20">
        <f>'TR TUSD'!$L$27*'TR TUSD'!$L$60</f>
        <v>0</v>
      </c>
      <c r="M27" s="20">
        <f>'TR TUSD'!$M$27*'TR TUSD'!$M$60</f>
        <v>2.5344615588488981</v>
      </c>
      <c r="N27" s="20">
        <f ca="1">'TR TUSD'!$N$27*'TR TUSD'!$N$60</f>
        <v>0</v>
      </c>
      <c r="O27" s="20">
        <f>'TR TUSD'!$O$27*'TR TUSD'!$O$60</f>
        <v>0</v>
      </c>
      <c r="P27" s="20">
        <f>'TR TUSD'!$P$27*'TR TUSD'!$P$60</f>
        <v>0</v>
      </c>
      <c r="Q27" s="20">
        <f>'TR TUSD'!$Q$27*'TR TUSD'!$Q$60</f>
        <v>0</v>
      </c>
      <c r="R27" s="20">
        <f>'TR TUSD'!$R$27*'TR TUSD'!$R$60</f>
        <v>0</v>
      </c>
      <c r="S27" s="20">
        <f>'TR TUSD'!$S$27*'TR TUSD'!$S$60</f>
        <v>0</v>
      </c>
      <c r="T27" s="20">
        <f ca="1">SUM($L$27:$S$27)</f>
        <v>2.5344615588488981</v>
      </c>
      <c r="U27" s="20">
        <f>'TR TUSD'!$U$27*'TR TUSD'!$U$60</f>
        <v>0</v>
      </c>
      <c r="V27" s="20">
        <f>'TR TUSD'!$V$27*'TR TUSD'!$V$60</f>
        <v>0</v>
      </c>
      <c r="W27" s="20">
        <f>'TR TUSD'!$W$27*'TR TUSD'!$W$60</f>
        <v>0</v>
      </c>
      <c r="X27" s="20">
        <f>'TR TUSD'!$X$27*'TR TUSD'!$X$60</f>
        <v>0</v>
      </c>
      <c r="Y27" s="20">
        <f>'TR TUSD'!$Y$27*'TR TUSD'!$Y$60</f>
        <v>294.10376115446178</v>
      </c>
      <c r="Z27" s="20">
        <f>'TR TUSD'!$Z$27</f>
        <v>0</v>
      </c>
      <c r="AA27" s="20">
        <f>'TR TUSD'!$AA$27</f>
        <v>0</v>
      </c>
      <c r="AB27" s="20">
        <f>SUM($U$27:$AA$27)</f>
        <v>294.10376115446178</v>
      </c>
      <c r="AC27" s="20">
        <f>'TR TUSD'!$AC$27*'TR TUSD'!$AC$60</f>
        <v>507.74668633382123</v>
      </c>
      <c r="AD27" s="20">
        <f>SUM($AC$27:$AC$27)</f>
        <v>507.74668633382123</v>
      </c>
      <c r="AE27" s="20">
        <v>0</v>
      </c>
      <c r="AF27" s="20">
        <v>0</v>
      </c>
      <c r="AG27" s="20">
        <f>SUM($AE$27:$AF$27)</f>
        <v>0</v>
      </c>
      <c r="AH27" s="20">
        <f>'TR TUSD'!$AH$27*'TR TUSD'!$AH$60</f>
        <v>18.256350949092976</v>
      </c>
      <c r="AI27" s="20">
        <f>'TR TUSD'!$AI$27*'TR TUSD'!$AI$60</f>
        <v>0</v>
      </c>
      <c r="AJ27" s="20">
        <f ca="1">'TR TUSD'!$AJ$27*'TR TUSD'!$AJ$60</f>
        <v>2.493291096681717</v>
      </c>
      <c r="AK27" s="20">
        <f ca="1">'TR TUSD'!$AK$27*'TR TUSD'!$AK$60</f>
        <v>0</v>
      </c>
      <c r="AL27" s="20">
        <f ca="1">SUM($AH$27:$AK$27)</f>
        <v>20.749642045774692</v>
      </c>
      <c r="AM27" s="20">
        <f ca="1">SUMIF($L$4:$AL$4,"SUBTOTAL",$L$27:$AL$27)</f>
        <v>825.13455109290658</v>
      </c>
      <c r="AP27" s="20">
        <f>IF((1 - CUSTOS!$M$25)&lt;&gt;0,1/(1 - CUSTOS!$M$25),1)</f>
        <v>1</v>
      </c>
    </row>
    <row r="28" spans="1:42" ht="11.25" customHeight="1" x14ac:dyDescent="0.3">
      <c r="A28" s="125"/>
      <c r="B28" s="125"/>
      <c r="C28" s="125"/>
      <c r="D28" s="22" t="s">
        <v>31</v>
      </c>
      <c r="E28" s="22" t="s">
        <v>25</v>
      </c>
      <c r="F28" s="22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20">
        <f>'TR TUSD'!$L$28*'TR TUSD'!$L$60</f>
        <v>0</v>
      </c>
      <c r="M28" s="20">
        <f>'TR TUSD'!$M$28*'TR TUSD'!$M$60</f>
        <v>2.5344615588488981</v>
      </c>
      <c r="N28" s="20">
        <f ca="1">'TR TUSD'!$N$28*'TR TUSD'!$N$60</f>
        <v>0</v>
      </c>
      <c r="O28" s="20">
        <f>'TR TUSD'!$O$28*'TR TUSD'!$O$60</f>
        <v>0</v>
      </c>
      <c r="P28" s="20">
        <f>'TR TUSD'!$P$28*'TR TUSD'!$P$60</f>
        <v>0</v>
      </c>
      <c r="Q28" s="20">
        <f>'TR TUSD'!$Q$28*'TR TUSD'!$Q$60</f>
        <v>0</v>
      </c>
      <c r="R28" s="20">
        <f>'TR TUSD'!$R$28*'TR TUSD'!$R$60</f>
        <v>0</v>
      </c>
      <c r="S28" s="20">
        <f>'TR TUSD'!$S$28*'TR TUSD'!$S$60</f>
        <v>0</v>
      </c>
      <c r="T28" s="20">
        <f ca="1">SUM($L$28:$S$28)</f>
        <v>2.5344615588488981</v>
      </c>
      <c r="U28" s="20">
        <f>'TR TUSD'!$U$28*'TR TUSD'!$U$60</f>
        <v>0</v>
      </c>
      <c r="V28" s="20">
        <f>'TR TUSD'!$V$28*'TR TUSD'!$V$60</f>
        <v>0</v>
      </c>
      <c r="W28" s="20">
        <f>'TR TUSD'!$W$28*'TR TUSD'!$W$60</f>
        <v>0</v>
      </c>
      <c r="X28" s="20">
        <f>'TR TUSD'!$X$28*'TR TUSD'!$X$60</f>
        <v>0</v>
      </c>
      <c r="Y28" s="20">
        <f>'TR TUSD'!$Y$28*'TR TUSD'!$Y$60</f>
        <v>294.10376115446178</v>
      </c>
      <c r="Z28" s="20">
        <f>'TR TUSD'!$Z$28</f>
        <v>0</v>
      </c>
      <c r="AA28" s="20">
        <f>'TR TUSD'!$AA$28</f>
        <v>0</v>
      </c>
      <c r="AB28" s="20">
        <f>SUM($U$28:$AA$28)</f>
        <v>294.10376115446178</v>
      </c>
      <c r="AC28" s="20">
        <f>'TR TUSD'!$AC$28*'TR TUSD'!$AC$60</f>
        <v>507.74668633382123</v>
      </c>
      <c r="AD28" s="20">
        <f>SUM($AC$28:$AC$28)</f>
        <v>507.74668633382123</v>
      </c>
      <c r="AE28" s="20">
        <v>0</v>
      </c>
      <c r="AF28" s="20">
        <v>0</v>
      </c>
      <c r="AG28" s="20">
        <f>SUM($AE$28:$AF$28)</f>
        <v>0</v>
      </c>
      <c r="AH28" s="20">
        <f>'TR TUSD'!$AH$28*'TR TUSD'!$AH$60</f>
        <v>18.256350949092976</v>
      </c>
      <c r="AI28" s="20">
        <f>'TR TUSD'!$AI$28*'TR TUSD'!$AI$60</f>
        <v>0</v>
      </c>
      <c r="AJ28" s="20">
        <f ca="1">'TR TUSD'!$AJ$28*'TR TUSD'!$AJ$60</f>
        <v>2.493291096681717</v>
      </c>
      <c r="AK28" s="20">
        <f ca="1">'TR TUSD'!$AK$28*'TR TUSD'!$AK$60</f>
        <v>0</v>
      </c>
      <c r="AL28" s="20">
        <f ca="1">SUM($AH$28:$AK$28)</f>
        <v>20.749642045774692</v>
      </c>
      <c r="AM28" s="20">
        <f ca="1">SUMIF($L$4:$AL$4,"SUBTOTAL",$L$28:$AL$28)</f>
        <v>825.13455109290658</v>
      </c>
      <c r="AP28" s="20">
        <f>IF((1 - CUSTOS!$M$26)&lt;&gt;0,1/(1 - CUSTOS!$M$26),1)</f>
        <v>1</v>
      </c>
    </row>
    <row r="29" spans="1:42" ht="11.25" customHeight="1" x14ac:dyDescent="0.3">
      <c r="A29" s="125"/>
      <c r="B29" s="125"/>
      <c r="C29" s="125"/>
      <c r="D29" s="22" t="s">
        <v>32</v>
      </c>
      <c r="E29" s="22" t="s">
        <v>25</v>
      </c>
      <c r="F29" s="22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20">
        <f>'TR TUSD'!$L$29*'TR TUSD'!$L$60</f>
        <v>0</v>
      </c>
      <c r="M29" s="20">
        <f>'TR TUSD'!$M$29*'TR TUSD'!$M$60</f>
        <v>2.5344615588488981</v>
      </c>
      <c r="N29" s="20">
        <f ca="1">'TR TUSD'!$N$29*'TR TUSD'!$N$60</f>
        <v>0</v>
      </c>
      <c r="O29" s="20">
        <f>'TR TUSD'!$O$29*'TR TUSD'!$O$60</f>
        <v>0</v>
      </c>
      <c r="P29" s="20">
        <f>'TR TUSD'!$P$29*'TR TUSD'!$P$60</f>
        <v>0</v>
      </c>
      <c r="Q29" s="20">
        <f>'TR TUSD'!$Q$29*'TR TUSD'!$Q$60</f>
        <v>0</v>
      </c>
      <c r="R29" s="20">
        <f>'TR TUSD'!$R$29*'TR TUSD'!$R$60</f>
        <v>0</v>
      </c>
      <c r="S29" s="20">
        <f>'TR TUSD'!$S$29*'TR TUSD'!$S$60</f>
        <v>0</v>
      </c>
      <c r="T29" s="20">
        <f ca="1">SUM($L$29:$S$29)</f>
        <v>2.5344615588488981</v>
      </c>
      <c r="U29" s="20">
        <f>'TR TUSD'!$U$29*'TR TUSD'!$U$60</f>
        <v>0</v>
      </c>
      <c r="V29" s="20">
        <f>'TR TUSD'!$V$29*'TR TUSD'!$V$60</f>
        <v>0</v>
      </c>
      <c r="W29" s="20">
        <f>'TR TUSD'!$W$29*'TR TUSD'!$W$60</f>
        <v>0</v>
      </c>
      <c r="X29" s="20">
        <f>'TR TUSD'!$X$29*'TR TUSD'!$X$60</f>
        <v>0</v>
      </c>
      <c r="Y29" s="20">
        <f>'TR TUSD'!$Y$29*'TR TUSD'!$Y$60</f>
        <v>294.10376115446178</v>
      </c>
      <c r="Z29" s="20">
        <f>'TR TUSD'!$Z$29</f>
        <v>0</v>
      </c>
      <c r="AA29" s="20">
        <f>'TR TUSD'!$AA$29</f>
        <v>0</v>
      </c>
      <c r="AB29" s="20">
        <f>SUM($U$29:$AA$29)</f>
        <v>294.10376115446178</v>
      </c>
      <c r="AC29" s="20">
        <f>'TR TUSD'!$AC$29*'TR TUSD'!$AC$60</f>
        <v>507.74668633382123</v>
      </c>
      <c r="AD29" s="20">
        <f>SUM($AC$29:$AC$29)</f>
        <v>507.74668633382123</v>
      </c>
      <c r="AE29" s="20">
        <v>0</v>
      </c>
      <c r="AF29" s="20">
        <v>0</v>
      </c>
      <c r="AG29" s="20">
        <f>SUM($AE$29:$AF$29)</f>
        <v>0</v>
      </c>
      <c r="AH29" s="20">
        <f>'TR TUSD'!$AH$29*'TR TUSD'!$AH$60</f>
        <v>18.256350949092976</v>
      </c>
      <c r="AI29" s="20">
        <f>'TR TUSD'!$AI$29*'TR TUSD'!$AI$60</f>
        <v>0</v>
      </c>
      <c r="AJ29" s="20">
        <f ca="1">'TR TUSD'!$AJ$29*'TR TUSD'!$AJ$60</f>
        <v>2.493291096681717</v>
      </c>
      <c r="AK29" s="20">
        <f ca="1">'TR TUSD'!$AK$29*'TR TUSD'!$AK$60</f>
        <v>0</v>
      </c>
      <c r="AL29" s="20">
        <f ca="1">SUM($AH$29:$AK$29)</f>
        <v>20.749642045774692</v>
      </c>
      <c r="AM29" s="20">
        <f ca="1">SUMIF($L$4:$AL$4,"SUBTOTAL",$L$29:$AL$29)</f>
        <v>825.13455109290658</v>
      </c>
      <c r="AP29" s="20">
        <f>IF((1 - CUSTOS!$M$27)&lt;&gt;0,1/(1 - CUSTOS!$M$27),1)</f>
        <v>1</v>
      </c>
    </row>
    <row r="30" spans="1:42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20">
        <f>'TR TUSD'!$L$30*'TR TUSD'!$L$60</f>
        <v>48.698907051497756</v>
      </c>
      <c r="M30" s="20">
        <f>'TR TUSD'!$M$30*'TR TUSD'!$M$60</f>
        <v>2.5344615588488981</v>
      </c>
      <c r="N30" s="20">
        <f ca="1">'TR TUSD'!$N$30*'TR TUSD'!$N$60</f>
        <v>0</v>
      </c>
      <c r="O30" s="20">
        <f>'TR TUSD'!$O$30*'TR TUSD'!$O$60</f>
        <v>0</v>
      </c>
      <c r="P30" s="20">
        <f>'TR TUSD'!$P$30*'TR TUSD'!$P$60</f>
        <v>0</v>
      </c>
      <c r="Q30" s="20">
        <f>'TR TUSD'!$Q$30*'TR TUSD'!$Q$60</f>
        <v>86.509846835570912</v>
      </c>
      <c r="R30" s="20">
        <f>'TR TUSD'!$R$30*'TR TUSD'!$R$60</f>
        <v>14.354023406416101</v>
      </c>
      <c r="S30" s="20">
        <f>'TR TUSD'!$S$30*'TR TUSD'!$S$60</f>
        <v>0</v>
      </c>
      <c r="T30" s="20">
        <f ca="1">SUM($L$30:$S$30)</f>
        <v>152.09723885233367</v>
      </c>
      <c r="U30" s="20">
        <f>'TR TUSD'!$U$30*'TR TUSD'!$U$60</f>
        <v>0</v>
      </c>
      <c r="V30" s="20">
        <f>'TR TUSD'!$V$30*'TR TUSD'!$V$60</f>
        <v>0</v>
      </c>
      <c r="W30" s="20">
        <f>'TR TUSD'!$W$30*'TR TUSD'!$W$60</f>
        <v>0</v>
      </c>
      <c r="X30" s="20">
        <f>'TR TUSD'!$X$30*'TR TUSD'!$X$60</f>
        <v>0</v>
      </c>
      <c r="Y30" s="20">
        <f>'TR TUSD'!$Y$30*'TR TUSD'!$Y$60</f>
        <v>882.31012549979584</v>
      </c>
      <c r="Z30" s="20">
        <f>'TR TUSD'!$Z$30</f>
        <v>0</v>
      </c>
      <c r="AA30" s="20">
        <f>'TR TUSD'!$AA$30</f>
        <v>0</v>
      </c>
      <c r="AB30" s="20">
        <f>SUM($U$30:$AA$30)</f>
        <v>882.31012549979584</v>
      </c>
      <c r="AC30" s="20">
        <f>'TR TUSD'!$AC$30*'TR TUSD'!$AC$60</f>
        <v>1523.2401698058723</v>
      </c>
      <c r="AD30" s="20">
        <f>SUM($AC$30:$AC$30)</f>
        <v>1523.2401698058723</v>
      </c>
      <c r="AE30" s="20">
        <v>0</v>
      </c>
      <c r="AF30" s="20">
        <v>0</v>
      </c>
      <c r="AG30" s="20">
        <f>SUM($AE$30:$AF$30)</f>
        <v>0</v>
      </c>
      <c r="AH30" s="20">
        <f>'TR TUSD'!$AH$30*'TR TUSD'!$AH$60</f>
        <v>18.256350949092976</v>
      </c>
      <c r="AI30" s="20">
        <f>'TR TUSD'!$AI$30*'TR TUSD'!$AI$60</f>
        <v>0</v>
      </c>
      <c r="AJ30" s="20">
        <f ca="1">'TR TUSD'!$AJ$30*'TR TUSD'!$AJ$60</f>
        <v>2.493291096681717</v>
      </c>
      <c r="AK30" s="20">
        <f ca="1">'TR TUSD'!$AK$30*'TR TUSD'!$AK$60</f>
        <v>0</v>
      </c>
      <c r="AL30" s="20">
        <f ca="1">SUM($AH$30:$AK$30)</f>
        <v>20.749642045774692</v>
      </c>
      <c r="AM30" s="20">
        <f ca="1">SUMIF($L$4:$AL$4,"SUBTOTAL",$L$30:$AL$30)</f>
        <v>2578.3971762037763</v>
      </c>
      <c r="AP30" s="20">
        <f>IF((1 - CUSTOS!$M$28)&lt;&gt;0,1/(1 - CUSTOS!$M$28),1)</f>
        <v>1</v>
      </c>
    </row>
    <row r="31" spans="1:42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20">
        <f>'TR TUSD'!$L$31*'TR TUSD'!$L$60</f>
        <v>48.698907051497756</v>
      </c>
      <c r="M31" s="20">
        <f>'TR TUSD'!$M$31*'TR TUSD'!$M$60</f>
        <v>2.5344615588488981</v>
      </c>
      <c r="N31" s="20">
        <f ca="1">'TR TUSD'!$N$31*'TR TUSD'!$N$60</f>
        <v>0</v>
      </c>
      <c r="O31" s="20">
        <f>'TR TUSD'!$O$31*'TR TUSD'!$O$60</f>
        <v>0</v>
      </c>
      <c r="P31" s="20">
        <f>'TR TUSD'!$P$31*'TR TUSD'!$P$60</f>
        <v>0</v>
      </c>
      <c r="Q31" s="20">
        <f>'TR TUSD'!$Q$31*'TR TUSD'!$Q$60</f>
        <v>86.509846835570912</v>
      </c>
      <c r="R31" s="20">
        <f>'TR TUSD'!$R$31*'TR TUSD'!$R$60</f>
        <v>14.354023406416101</v>
      </c>
      <c r="S31" s="20">
        <f>'TR TUSD'!$S$31*'TR TUSD'!$S$60</f>
        <v>0</v>
      </c>
      <c r="T31" s="20">
        <f ca="1">SUM($L$31:$S$31)</f>
        <v>152.09723885233367</v>
      </c>
      <c r="U31" s="20">
        <f>'TR TUSD'!$U$31*'TR TUSD'!$U$60</f>
        <v>0</v>
      </c>
      <c r="V31" s="20">
        <f>'TR TUSD'!$V$31*'TR TUSD'!$V$60</f>
        <v>0</v>
      </c>
      <c r="W31" s="20">
        <f>'TR TUSD'!$W$31*'TR TUSD'!$W$60</f>
        <v>0</v>
      </c>
      <c r="X31" s="20">
        <f>'TR TUSD'!$X$31*'TR TUSD'!$X$60</f>
        <v>0</v>
      </c>
      <c r="Y31" s="20">
        <f>'TR TUSD'!$Y$31*'TR TUSD'!$Y$60</f>
        <v>529.38436151376493</v>
      </c>
      <c r="Z31" s="20">
        <f>'TR TUSD'!$Z$31</f>
        <v>0</v>
      </c>
      <c r="AA31" s="20">
        <f>'TR TUSD'!$AA$31</f>
        <v>0</v>
      </c>
      <c r="AB31" s="20">
        <f>SUM($U$31:$AA$31)</f>
        <v>529.38436151376493</v>
      </c>
      <c r="AC31" s="20">
        <f>'TR TUSD'!$AC$31*'TR TUSD'!$AC$60</f>
        <v>913.94412404440493</v>
      </c>
      <c r="AD31" s="20">
        <f>SUM($AC$31:$AC$31)</f>
        <v>913.94412404440493</v>
      </c>
      <c r="AE31" s="20">
        <v>0</v>
      </c>
      <c r="AF31" s="20">
        <v>0</v>
      </c>
      <c r="AG31" s="20">
        <f>SUM($AE$31:$AF$31)</f>
        <v>0</v>
      </c>
      <c r="AH31" s="20">
        <f>'TR TUSD'!$AH$31*'TR TUSD'!$AH$60</f>
        <v>18.256350949092976</v>
      </c>
      <c r="AI31" s="20">
        <f>'TR TUSD'!$AI$31*'TR TUSD'!$AI$60</f>
        <v>0</v>
      </c>
      <c r="AJ31" s="20">
        <f ca="1">'TR TUSD'!$AJ$31*'TR TUSD'!$AJ$60</f>
        <v>2.493291096681717</v>
      </c>
      <c r="AK31" s="20">
        <f ca="1">'TR TUSD'!$AK$31*'TR TUSD'!$AK$60</f>
        <v>0</v>
      </c>
      <c r="AL31" s="20">
        <f ca="1">SUM($AH$31:$AK$31)</f>
        <v>20.749642045774692</v>
      </c>
      <c r="AM31" s="20">
        <f ca="1">SUMIF($L$4:$AL$4,"SUBTOTAL",$L$31:$AL$31)</f>
        <v>1616.1753664562782</v>
      </c>
      <c r="AP31" s="20">
        <f>IF((1 - CUSTOS!$M$28)&lt;&gt;0,1/(1 - CUSTOS!$M$28),1)</f>
        <v>1</v>
      </c>
    </row>
    <row r="32" spans="1:42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20">
        <f>'TR TUSD'!$L$32*'TR TUSD'!$L$60</f>
        <v>48.698907051497756</v>
      </c>
      <c r="M32" s="20">
        <f>'TR TUSD'!$M$32*'TR TUSD'!$M$60</f>
        <v>2.5344615588488981</v>
      </c>
      <c r="N32" s="20">
        <f ca="1">'TR TUSD'!$N$32*'TR TUSD'!$N$60</f>
        <v>0</v>
      </c>
      <c r="O32" s="20">
        <f>'TR TUSD'!$O$32*'TR TUSD'!$O$60</f>
        <v>0</v>
      </c>
      <c r="P32" s="20">
        <f>'TR TUSD'!$P$32*'TR TUSD'!$P$60</f>
        <v>0</v>
      </c>
      <c r="Q32" s="20">
        <f>'TR TUSD'!$Q$32*'TR TUSD'!$Q$60</f>
        <v>86.509846835570912</v>
      </c>
      <c r="R32" s="20">
        <f>'TR TUSD'!$R$32*'TR TUSD'!$R$60</f>
        <v>14.354023406416101</v>
      </c>
      <c r="S32" s="20">
        <f>'TR TUSD'!$S$32*'TR TUSD'!$S$60</f>
        <v>0</v>
      </c>
      <c r="T32" s="20">
        <f ca="1">SUM($L$32:$S$32)</f>
        <v>152.09723885233367</v>
      </c>
      <c r="U32" s="20">
        <f>'TR TUSD'!$U$32*'TR TUSD'!$U$60</f>
        <v>0</v>
      </c>
      <c r="V32" s="20">
        <f>'TR TUSD'!$V$32*'TR TUSD'!$V$60</f>
        <v>0</v>
      </c>
      <c r="W32" s="20">
        <f>'TR TUSD'!$W$32*'TR TUSD'!$W$60</f>
        <v>0</v>
      </c>
      <c r="X32" s="20">
        <f>'TR TUSD'!$X$32*'TR TUSD'!$X$60</f>
        <v>0</v>
      </c>
      <c r="Y32" s="20">
        <f>'TR TUSD'!$Y$32*'TR TUSD'!$Y$60</f>
        <v>176.4627661966565</v>
      </c>
      <c r="Z32" s="20">
        <f>'TR TUSD'!$Z$32</f>
        <v>0</v>
      </c>
      <c r="AA32" s="20">
        <f>'TR TUSD'!$AA$32</f>
        <v>0</v>
      </c>
      <c r="AB32" s="20">
        <f>SUM($U$32:$AA$32)</f>
        <v>176.4627661966565</v>
      </c>
      <c r="AC32" s="20">
        <f>'TR TUSD'!$AC$32*'TR TUSD'!$AC$60</f>
        <v>304.64818908734622</v>
      </c>
      <c r="AD32" s="20">
        <f>SUM($AC$32:$AC$32)</f>
        <v>304.64818908734622</v>
      </c>
      <c r="AE32" s="20">
        <v>0</v>
      </c>
      <c r="AF32" s="20">
        <v>0</v>
      </c>
      <c r="AG32" s="20">
        <f>SUM($AE$32:$AF$32)</f>
        <v>0</v>
      </c>
      <c r="AH32" s="20">
        <f>'TR TUSD'!$AH$32*'TR TUSD'!$AH$60</f>
        <v>18.256350949092976</v>
      </c>
      <c r="AI32" s="20">
        <f>'TR TUSD'!$AI$32*'TR TUSD'!$AI$60</f>
        <v>0</v>
      </c>
      <c r="AJ32" s="20">
        <f ca="1">'TR TUSD'!$AJ$32*'TR TUSD'!$AJ$60</f>
        <v>2.493291096681717</v>
      </c>
      <c r="AK32" s="20">
        <f ca="1">'TR TUSD'!$AK$32*'TR TUSD'!$AK$60</f>
        <v>0</v>
      </c>
      <c r="AL32" s="20">
        <f ca="1">SUM($AH$32:$AK$32)</f>
        <v>20.749642045774692</v>
      </c>
      <c r="AM32" s="20">
        <f ca="1">SUMIF($L$4:$AL$4,"SUBTOTAL",$L$32:$AL$32)</f>
        <v>653.95783618211112</v>
      </c>
      <c r="AP32" s="20">
        <f>IF((1 - CUSTOS!$M$28)&lt;&gt;0,1/(1 - CUSTOS!$M$28),1)</f>
        <v>1</v>
      </c>
    </row>
    <row r="33" spans="1:42" ht="11.25" customHeight="1" x14ac:dyDescent="0.3">
      <c r="A33" s="125"/>
      <c r="B33" s="22" t="s">
        <v>23</v>
      </c>
      <c r="C33" s="22" t="s">
        <v>41</v>
      </c>
      <c r="D33" s="22" t="s">
        <v>25</v>
      </c>
      <c r="E33" s="22" t="s">
        <v>25</v>
      </c>
      <c r="F33" s="22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20">
        <f>'TR TUSD'!$L$33*'TR TUSD'!$L$60</f>
        <v>48.698907051497756</v>
      </c>
      <c r="M33" s="20">
        <f>'TR TUSD'!$M$33*'TR TUSD'!$M$60</f>
        <v>2.5344615588488981</v>
      </c>
      <c r="N33" s="20">
        <f ca="1">'TR TUSD'!$N$33*'TR TUSD'!$N$60</f>
        <v>0</v>
      </c>
      <c r="O33" s="20">
        <f>'TR TUSD'!$O$33*'TR TUSD'!$O$60</f>
        <v>0</v>
      </c>
      <c r="P33" s="20">
        <f>'TR TUSD'!$P$33*'TR TUSD'!$P$60</f>
        <v>0</v>
      </c>
      <c r="Q33" s="20">
        <f>'TR TUSD'!$Q$33*'TR TUSD'!$Q$60</f>
        <v>86.509846835570912</v>
      </c>
      <c r="R33" s="20">
        <f>'TR TUSD'!$R$33*'TR TUSD'!$R$60</f>
        <v>14.354023406416101</v>
      </c>
      <c r="S33" s="20">
        <f>'TR TUSD'!$S$33*'TR TUSD'!$S$60</f>
        <v>0</v>
      </c>
      <c r="T33" s="20">
        <f ca="1">SUM($L$33:$S$33)</f>
        <v>152.09723885233367</v>
      </c>
      <c r="U33" s="20">
        <f>'TR TUSD'!$U$33*'TR TUSD'!$U$60</f>
        <v>0</v>
      </c>
      <c r="V33" s="20">
        <f>'TR TUSD'!$V$33*'TR TUSD'!$V$60</f>
        <v>0</v>
      </c>
      <c r="W33" s="20">
        <f>'TR TUSD'!$W$33*'TR TUSD'!$W$60</f>
        <v>0</v>
      </c>
      <c r="X33" s="20">
        <f>'TR TUSD'!$X$33*'TR TUSD'!$X$60</f>
        <v>0</v>
      </c>
      <c r="Y33" s="20">
        <f>'TR TUSD'!$Y$33*'TR TUSD'!$Y$60</f>
        <v>294.10376115446178</v>
      </c>
      <c r="Z33" s="20">
        <f>'TR TUSD'!$Z$33</f>
        <v>0</v>
      </c>
      <c r="AA33" s="20">
        <f>'TR TUSD'!$AA$33</f>
        <v>0</v>
      </c>
      <c r="AB33" s="20">
        <f>SUM($U$33:$AA$33)</f>
        <v>294.10376115446178</v>
      </c>
      <c r="AC33" s="20">
        <f>'TR TUSD'!$AC$33*'TR TUSD'!$AC$60</f>
        <v>507.74668633382123</v>
      </c>
      <c r="AD33" s="20">
        <f>SUM($AC$33:$AC$33)</f>
        <v>507.74668633382123</v>
      </c>
      <c r="AE33" s="20">
        <v>0</v>
      </c>
      <c r="AF33" s="20">
        <v>0</v>
      </c>
      <c r="AG33" s="20">
        <f>SUM($AE$33:$AF$33)</f>
        <v>0</v>
      </c>
      <c r="AH33" s="20">
        <f>'TR TUSD'!$AH$33*'TR TUSD'!$AH$60</f>
        <v>18.256350949092976</v>
      </c>
      <c r="AI33" s="20">
        <f>'TR TUSD'!$AI$33*'TR TUSD'!$AI$60</f>
        <v>0</v>
      </c>
      <c r="AJ33" s="20">
        <f ca="1">'TR TUSD'!$AJ$33*'TR TUSD'!$AJ$60</f>
        <v>2.493291096681717</v>
      </c>
      <c r="AK33" s="20">
        <f ca="1">'TR TUSD'!$AK$33*'TR TUSD'!$AK$60</f>
        <v>0</v>
      </c>
      <c r="AL33" s="20">
        <f ca="1">SUM($AH$33:$AK$33)</f>
        <v>20.749642045774692</v>
      </c>
      <c r="AM33" s="20">
        <f ca="1">SUMIF($L$4:$AL$4,"SUBTOTAL",$L$33:$AL$33)</f>
        <v>974.69732838639129</v>
      </c>
      <c r="AP33" s="20">
        <f>IF((1 - CUSTOS!$M$28)&lt;&gt;0,1/(1 - CUSTOS!$M$28),1)</f>
        <v>1</v>
      </c>
    </row>
    <row r="34" spans="1:42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20">
        <f>'TR TUSD'!$L$34*'TR TUSD'!$L$60</f>
        <v>48.698907051497756</v>
      </c>
      <c r="M34" s="20">
        <f>'TR TUSD'!$M$34*'TR TUSD'!$M$60</f>
        <v>2.5344615588488981</v>
      </c>
      <c r="N34" s="20">
        <f ca="1">'TR TUSD'!$N$34*'TR TUSD'!$N$60</f>
        <v>0</v>
      </c>
      <c r="O34" s="20">
        <f>'TR TUSD'!$O$34*'TR TUSD'!$O$60</f>
        <v>0</v>
      </c>
      <c r="P34" s="20">
        <f>'TR TUSD'!$P$34*'TR TUSD'!$P$60</f>
        <v>0</v>
      </c>
      <c r="Q34" s="20">
        <f>'TR TUSD'!$Q$34*'TR TUSD'!$Q$60</f>
        <v>86.509846835570912</v>
      </c>
      <c r="R34" s="20">
        <f>'TR TUSD'!$R$34*'TR TUSD'!$R$60</f>
        <v>14.354023406416101</v>
      </c>
      <c r="S34" s="20">
        <f>'TR TUSD'!$S$34*'TR TUSD'!$S$60</f>
        <v>0</v>
      </c>
      <c r="T34" s="20">
        <f ca="1">SUM($L$34:$S$34)</f>
        <v>152.09723885233367</v>
      </c>
      <c r="U34" s="20">
        <f>'TR TUSD'!$U$34*'TR TUSD'!$U$60</f>
        <v>0</v>
      </c>
      <c r="V34" s="20">
        <f>'TR TUSD'!$V$34*'TR TUSD'!$V$60</f>
        <v>0</v>
      </c>
      <c r="W34" s="20">
        <f>'TR TUSD'!$W$34*'TR TUSD'!$W$60</f>
        <v>0</v>
      </c>
      <c r="X34" s="20">
        <f>'TR TUSD'!$X$34*'TR TUSD'!$X$60</f>
        <v>0</v>
      </c>
      <c r="Y34" s="20">
        <f>'TR TUSD'!$Y$34*'TR TUSD'!$Y$60</f>
        <v>882.31012549979584</v>
      </c>
      <c r="Z34" s="20">
        <f>'TR TUSD'!$Z$34</f>
        <v>0</v>
      </c>
      <c r="AA34" s="20">
        <f>'TR TUSD'!$AA$34</f>
        <v>0</v>
      </c>
      <c r="AB34" s="20">
        <f>SUM($U$34:$AA$34)</f>
        <v>882.31012549979584</v>
      </c>
      <c r="AC34" s="20">
        <f>'TR TUSD'!$AC$34*'TR TUSD'!$AC$60</f>
        <v>1523.2401698058723</v>
      </c>
      <c r="AD34" s="20">
        <f>SUM($AC$34:$AC$34)</f>
        <v>1523.2401698058723</v>
      </c>
      <c r="AE34" s="20">
        <v>0</v>
      </c>
      <c r="AF34" s="20">
        <v>0</v>
      </c>
      <c r="AG34" s="20">
        <f>SUM($AE$34:$AF$34)</f>
        <v>0</v>
      </c>
      <c r="AH34" s="20">
        <f>'TR TUSD'!$AH$34*'TR TUSD'!$AH$60</f>
        <v>18.256350949092976</v>
      </c>
      <c r="AI34" s="20">
        <f>'TR TUSD'!$AI$34*'TR TUSD'!$AI$60</f>
        <v>0</v>
      </c>
      <c r="AJ34" s="20">
        <f ca="1">'TR TUSD'!$AJ$34*'TR TUSD'!$AJ$60</f>
        <v>2.493291096681717</v>
      </c>
      <c r="AK34" s="20">
        <f ca="1">'TR TUSD'!$AK$34*'TR TUSD'!$AK$60</f>
        <v>0</v>
      </c>
      <c r="AL34" s="20">
        <f ca="1">SUM($AH$34:$AK$34)</f>
        <v>20.749642045774692</v>
      </c>
      <c r="AM34" s="20">
        <f ca="1">SUMIF($L$4:$AL$4,"SUBTOTAL",$L$34:$AL$34)</f>
        <v>2578.3971762037763</v>
      </c>
      <c r="AP34" s="20">
        <f>IF((1 - CUSTOS!$M$29)&lt;&gt;0,1/(1 - CUSTOS!$M$29),1)</f>
        <v>1</v>
      </c>
    </row>
    <row r="35" spans="1:42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20">
        <f>'TR TUSD'!$L$35*'TR TUSD'!$L$60</f>
        <v>48.698907051497756</v>
      </c>
      <c r="M35" s="20">
        <f>'TR TUSD'!$M$35*'TR TUSD'!$M$60</f>
        <v>2.5344615588488981</v>
      </c>
      <c r="N35" s="20">
        <f ca="1">'TR TUSD'!$N$35*'TR TUSD'!$N$60</f>
        <v>0</v>
      </c>
      <c r="O35" s="20">
        <f>'TR TUSD'!$O$35*'TR TUSD'!$O$60</f>
        <v>0</v>
      </c>
      <c r="P35" s="20">
        <f>'TR TUSD'!$P$35*'TR TUSD'!$P$60</f>
        <v>0</v>
      </c>
      <c r="Q35" s="20">
        <f>'TR TUSD'!$Q$35*'TR TUSD'!$Q$60</f>
        <v>86.509846835570912</v>
      </c>
      <c r="R35" s="20">
        <f>'TR TUSD'!$R$35*'TR TUSD'!$R$60</f>
        <v>14.354023406416101</v>
      </c>
      <c r="S35" s="20">
        <f>'TR TUSD'!$S$35*'TR TUSD'!$S$60</f>
        <v>0</v>
      </c>
      <c r="T35" s="20">
        <f ca="1">SUM($L$35:$S$35)</f>
        <v>152.09723885233367</v>
      </c>
      <c r="U35" s="20">
        <f>'TR TUSD'!$U$35*'TR TUSD'!$U$60</f>
        <v>0</v>
      </c>
      <c r="V35" s="20">
        <f>'TR TUSD'!$V$35*'TR TUSD'!$V$60</f>
        <v>0</v>
      </c>
      <c r="W35" s="20">
        <f>'TR TUSD'!$W$35*'TR TUSD'!$W$60</f>
        <v>0</v>
      </c>
      <c r="X35" s="20">
        <f>'TR TUSD'!$X$35*'TR TUSD'!$X$60</f>
        <v>0</v>
      </c>
      <c r="Y35" s="20">
        <f>'TR TUSD'!$Y$35*'TR TUSD'!$Y$60</f>
        <v>529.38436151376493</v>
      </c>
      <c r="Z35" s="20">
        <f>'TR TUSD'!$Z$35</f>
        <v>0</v>
      </c>
      <c r="AA35" s="20">
        <f>'TR TUSD'!$AA$35</f>
        <v>0</v>
      </c>
      <c r="AB35" s="20">
        <f>SUM($U$35:$AA$35)</f>
        <v>529.38436151376493</v>
      </c>
      <c r="AC35" s="20">
        <f>'TR TUSD'!$AC$35*'TR TUSD'!$AC$60</f>
        <v>913.94412404440493</v>
      </c>
      <c r="AD35" s="20">
        <f>SUM($AC$35:$AC$35)</f>
        <v>913.94412404440493</v>
      </c>
      <c r="AE35" s="20">
        <v>0</v>
      </c>
      <c r="AF35" s="20">
        <v>0</v>
      </c>
      <c r="AG35" s="20">
        <f>SUM($AE$35:$AF$35)</f>
        <v>0</v>
      </c>
      <c r="AH35" s="20">
        <f>'TR TUSD'!$AH$35*'TR TUSD'!$AH$60</f>
        <v>18.256350949092976</v>
      </c>
      <c r="AI35" s="20">
        <f>'TR TUSD'!$AI$35*'TR TUSD'!$AI$60</f>
        <v>0</v>
      </c>
      <c r="AJ35" s="20">
        <f ca="1">'TR TUSD'!$AJ$35*'TR TUSD'!$AJ$60</f>
        <v>2.493291096681717</v>
      </c>
      <c r="AK35" s="20">
        <f ca="1">'TR TUSD'!$AK$35*'TR TUSD'!$AK$60</f>
        <v>0</v>
      </c>
      <c r="AL35" s="20">
        <f ca="1">SUM($AH$35:$AK$35)</f>
        <v>20.749642045774692</v>
      </c>
      <c r="AM35" s="20">
        <f ca="1">SUMIF($L$4:$AL$4,"SUBTOTAL",$L$35:$AL$35)</f>
        <v>1616.1753664562782</v>
      </c>
      <c r="AP35" s="20">
        <f>IF((1 - CUSTOS!$M$29)&lt;&gt;0,1/(1 - CUSTOS!$M$29),1)</f>
        <v>1</v>
      </c>
    </row>
    <row r="36" spans="1:42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20">
        <f>'TR TUSD'!$L$36*'TR TUSD'!$L$60</f>
        <v>48.698907051497756</v>
      </c>
      <c r="M36" s="20">
        <f>'TR TUSD'!$M$36*'TR TUSD'!$M$60</f>
        <v>2.5344615588488981</v>
      </c>
      <c r="N36" s="20">
        <f ca="1">'TR TUSD'!$N$36*'TR TUSD'!$N$60</f>
        <v>0</v>
      </c>
      <c r="O36" s="20">
        <f>'TR TUSD'!$O$36*'TR TUSD'!$O$60</f>
        <v>0</v>
      </c>
      <c r="P36" s="20">
        <f>'TR TUSD'!$P$36*'TR TUSD'!$P$60</f>
        <v>0</v>
      </c>
      <c r="Q36" s="20">
        <f>'TR TUSD'!$Q$36*'TR TUSD'!$Q$60</f>
        <v>86.509846835570912</v>
      </c>
      <c r="R36" s="20">
        <f>'TR TUSD'!$R$36*'TR TUSD'!$R$60</f>
        <v>14.354023406416101</v>
      </c>
      <c r="S36" s="20">
        <f>'TR TUSD'!$S$36*'TR TUSD'!$S$60</f>
        <v>0</v>
      </c>
      <c r="T36" s="20">
        <f ca="1">SUM($L$36:$S$36)</f>
        <v>152.09723885233367</v>
      </c>
      <c r="U36" s="20">
        <f>'TR TUSD'!$U$36*'TR TUSD'!$U$60</f>
        <v>0</v>
      </c>
      <c r="V36" s="20">
        <f>'TR TUSD'!$V$36*'TR TUSD'!$V$60</f>
        <v>0</v>
      </c>
      <c r="W36" s="20">
        <f>'TR TUSD'!$W$36*'TR TUSD'!$W$60</f>
        <v>0</v>
      </c>
      <c r="X36" s="20">
        <f>'TR TUSD'!$X$36*'TR TUSD'!$X$60</f>
        <v>0</v>
      </c>
      <c r="Y36" s="20">
        <f>'TR TUSD'!$Y$36*'TR TUSD'!$Y$60</f>
        <v>176.4627661966565</v>
      </c>
      <c r="Z36" s="20">
        <f>'TR TUSD'!$Z$36</f>
        <v>0</v>
      </c>
      <c r="AA36" s="20">
        <f>'TR TUSD'!$AA$36</f>
        <v>0</v>
      </c>
      <c r="AB36" s="20">
        <f>SUM($U$36:$AA$36)</f>
        <v>176.4627661966565</v>
      </c>
      <c r="AC36" s="20">
        <f>'TR TUSD'!$AC$36*'TR TUSD'!$AC$60</f>
        <v>304.64818908734622</v>
      </c>
      <c r="AD36" s="20">
        <f>SUM($AC$36:$AC$36)</f>
        <v>304.64818908734622</v>
      </c>
      <c r="AE36" s="20">
        <v>0</v>
      </c>
      <c r="AF36" s="20">
        <v>0</v>
      </c>
      <c r="AG36" s="20">
        <f>SUM($AE$36:$AF$36)</f>
        <v>0</v>
      </c>
      <c r="AH36" s="20">
        <f>'TR TUSD'!$AH$36*'TR TUSD'!$AH$60</f>
        <v>18.256350949092976</v>
      </c>
      <c r="AI36" s="20">
        <f>'TR TUSD'!$AI$36*'TR TUSD'!$AI$60</f>
        <v>0</v>
      </c>
      <c r="AJ36" s="20">
        <f ca="1">'TR TUSD'!$AJ$36*'TR TUSD'!$AJ$60</f>
        <v>2.493291096681717</v>
      </c>
      <c r="AK36" s="20">
        <f ca="1">'TR TUSD'!$AK$36*'TR TUSD'!$AK$60</f>
        <v>0</v>
      </c>
      <c r="AL36" s="20">
        <f ca="1">SUM($AH$36:$AK$36)</f>
        <v>20.749642045774692</v>
      </c>
      <c r="AM36" s="20">
        <f ca="1">SUMIF($L$4:$AL$4,"SUBTOTAL",$L$36:$AL$36)</f>
        <v>653.95783618211112</v>
      </c>
      <c r="AP36" s="20">
        <f>IF((1 - CUSTOS!$M$29)&lt;&gt;0,1/(1 - CUSTOS!$M$29),1)</f>
        <v>1</v>
      </c>
    </row>
    <row r="37" spans="1:42" ht="11.25" customHeight="1" x14ac:dyDescent="0.3">
      <c r="A37" s="125"/>
      <c r="B37" s="22" t="s">
        <v>23</v>
      </c>
      <c r="C37" s="22" t="s">
        <v>41</v>
      </c>
      <c r="D37" s="22" t="s">
        <v>85</v>
      </c>
      <c r="E37" s="22" t="s">
        <v>25</v>
      </c>
      <c r="F37" s="22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20">
        <f>'TR TUSD'!$L$37*'TR TUSD'!$L$60</f>
        <v>48.698907051497756</v>
      </c>
      <c r="M37" s="20">
        <f>'TR TUSD'!$M$37*'TR TUSD'!$M$60</f>
        <v>2.5344615588488981</v>
      </c>
      <c r="N37" s="20">
        <f ca="1">'TR TUSD'!$N$37*'TR TUSD'!$N$60</f>
        <v>0</v>
      </c>
      <c r="O37" s="20">
        <f>'TR TUSD'!$O$37*'TR TUSD'!$O$60</f>
        <v>0</v>
      </c>
      <c r="P37" s="20">
        <f>'TR TUSD'!$P$37*'TR TUSD'!$P$60</f>
        <v>0</v>
      </c>
      <c r="Q37" s="20">
        <f>'TR TUSD'!$Q$37*'TR TUSD'!$Q$60</f>
        <v>86.509846835570912</v>
      </c>
      <c r="R37" s="20">
        <f>'TR TUSD'!$R$37*'TR TUSD'!$R$60</f>
        <v>14.354023406416101</v>
      </c>
      <c r="S37" s="20">
        <f>'TR TUSD'!$S$37*'TR TUSD'!$S$60</f>
        <v>0</v>
      </c>
      <c r="T37" s="20">
        <f ca="1">SUM($L$37:$S$37)</f>
        <v>152.09723885233367</v>
      </c>
      <c r="U37" s="20">
        <f>'TR TUSD'!$U$37*'TR TUSD'!$U$60</f>
        <v>0</v>
      </c>
      <c r="V37" s="20">
        <f>'TR TUSD'!$V$37*'TR TUSD'!$V$60</f>
        <v>0</v>
      </c>
      <c r="W37" s="20">
        <f>'TR TUSD'!$W$37*'TR TUSD'!$W$60</f>
        <v>0</v>
      </c>
      <c r="X37" s="20">
        <f>'TR TUSD'!$X$37*'TR TUSD'!$X$60</f>
        <v>0</v>
      </c>
      <c r="Y37" s="20">
        <f>'TR TUSD'!$Y$37*'TR TUSD'!$Y$60</f>
        <v>294.10376115446178</v>
      </c>
      <c r="Z37" s="20">
        <f>'TR TUSD'!$Z$37</f>
        <v>0</v>
      </c>
      <c r="AA37" s="20">
        <f>'TR TUSD'!$AA$37</f>
        <v>0</v>
      </c>
      <c r="AB37" s="20">
        <f>SUM($U$37:$AA$37)</f>
        <v>294.10376115446178</v>
      </c>
      <c r="AC37" s="20">
        <f>'TR TUSD'!$AC$37*'TR TUSD'!$AC$60</f>
        <v>507.74668633382123</v>
      </c>
      <c r="AD37" s="20">
        <f>SUM($AC$37:$AC$37)</f>
        <v>507.74668633382123</v>
      </c>
      <c r="AE37" s="20">
        <v>0</v>
      </c>
      <c r="AF37" s="20">
        <v>0</v>
      </c>
      <c r="AG37" s="20">
        <f>SUM($AE$37:$AF$37)</f>
        <v>0</v>
      </c>
      <c r="AH37" s="20">
        <f>'TR TUSD'!$AH$37*'TR TUSD'!$AH$60</f>
        <v>18.256350949092976</v>
      </c>
      <c r="AI37" s="20">
        <f>'TR TUSD'!$AI$37*'TR TUSD'!$AI$60</f>
        <v>0</v>
      </c>
      <c r="AJ37" s="20">
        <f ca="1">'TR TUSD'!$AJ$37*'TR TUSD'!$AJ$60</f>
        <v>2.493291096681717</v>
      </c>
      <c r="AK37" s="20">
        <f ca="1">'TR TUSD'!$AK$37*'TR TUSD'!$AK$60</f>
        <v>0</v>
      </c>
      <c r="AL37" s="20">
        <f ca="1">SUM($AH$37:$AK$37)</f>
        <v>20.749642045774692</v>
      </c>
      <c r="AM37" s="20">
        <f ca="1">SUMIF($L$4:$AL$4,"SUBTOTAL",$L$37:$AL$37)</f>
        <v>974.69732838639129</v>
      </c>
      <c r="AP37" s="20">
        <f>IF((1 - CUSTOS!$M$29)&lt;&gt;0,1/(1 - CUSTOS!$M$29),1)</f>
        <v>1</v>
      </c>
    </row>
    <row r="38" spans="1:42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20">
        <f>'TR TUSD'!$L$38*'TR TUSD'!$L$60</f>
        <v>48.698907051497756</v>
      </c>
      <c r="M38" s="20">
        <f>'TR TUSD'!$M$38*'TR TUSD'!$M$60</f>
        <v>2.5344615588488981</v>
      </c>
      <c r="N38" s="20">
        <f ca="1">'TR TUSD'!$N$38*'TR TUSD'!$N$60</f>
        <v>0</v>
      </c>
      <c r="O38" s="20">
        <f>'TR TUSD'!$O$38*'TR TUSD'!$O$60</f>
        <v>0</v>
      </c>
      <c r="P38" s="20">
        <f>'TR TUSD'!$P$38*'TR TUSD'!$P$60</f>
        <v>0</v>
      </c>
      <c r="Q38" s="20">
        <f>'TR TUSD'!$Q$38*'TR TUSD'!$Q$60</f>
        <v>86.509846835570912</v>
      </c>
      <c r="R38" s="20">
        <f>'TR TUSD'!$R$38*'TR TUSD'!$R$60</f>
        <v>14.354023406416101</v>
      </c>
      <c r="S38" s="20">
        <f>'TR TUSD'!$S$38*'TR TUSD'!$S$60</f>
        <v>0</v>
      </c>
      <c r="T38" s="20">
        <f ca="1">SUM($L$38:$S$38)</f>
        <v>152.09723885233367</v>
      </c>
      <c r="U38" s="20">
        <f>'TR TUSD'!$U$38*'TR TUSD'!$U$60</f>
        <v>0</v>
      </c>
      <c r="V38" s="20">
        <f>'TR TUSD'!$V$38*'TR TUSD'!$V$60</f>
        <v>0</v>
      </c>
      <c r="W38" s="20">
        <f>'TR TUSD'!$W$38*'TR TUSD'!$W$60</f>
        <v>0</v>
      </c>
      <c r="X38" s="20">
        <f>'TR TUSD'!$X$38*'TR TUSD'!$X$60</f>
        <v>0</v>
      </c>
      <c r="Y38" s="20">
        <f>'TR TUSD'!$Y$38*'TR TUSD'!$Y$60</f>
        <v>882.31012549979584</v>
      </c>
      <c r="Z38" s="20">
        <f>'TR TUSD'!$Z$38</f>
        <v>0</v>
      </c>
      <c r="AA38" s="20">
        <f>'TR TUSD'!$AA$38</f>
        <v>0</v>
      </c>
      <c r="AB38" s="20">
        <f>SUM($U$38:$AA$38)</f>
        <v>882.31012549979584</v>
      </c>
      <c r="AC38" s="20">
        <f>'TR TUSD'!$AC$38*'TR TUSD'!$AC$60</f>
        <v>1523.2401698058723</v>
      </c>
      <c r="AD38" s="20">
        <f>SUM($AC$38:$AC$38)</f>
        <v>1523.2401698058723</v>
      </c>
      <c r="AE38" s="20">
        <v>0</v>
      </c>
      <c r="AF38" s="20">
        <v>0</v>
      </c>
      <c r="AG38" s="20">
        <f>SUM($AE$38:$AF$38)</f>
        <v>0</v>
      </c>
      <c r="AH38" s="20">
        <f>'TR TUSD'!$AH$38*'TR TUSD'!$AH$60</f>
        <v>18.256350949092976</v>
      </c>
      <c r="AI38" s="20">
        <f>'TR TUSD'!$AI$38*'TR TUSD'!$AI$60</f>
        <v>0</v>
      </c>
      <c r="AJ38" s="20">
        <f ca="1">'TR TUSD'!$AJ$38*'TR TUSD'!$AJ$60</f>
        <v>2.493291096681717</v>
      </c>
      <c r="AK38" s="20">
        <f ca="1">'TR TUSD'!$AK$38*'TR TUSD'!$AK$60</f>
        <v>0</v>
      </c>
      <c r="AL38" s="20">
        <f ca="1">SUM($AH$38:$AK$38)</f>
        <v>20.749642045774692</v>
      </c>
      <c r="AM38" s="20">
        <f ca="1">SUMIF($L$4:$AL$4,"SUBTOTAL",$L$38:$AL$38)</f>
        <v>2578.3971762037763</v>
      </c>
      <c r="AP38" s="20">
        <f>IF((1 - CUSTOS!$M$30)&lt;&gt;0,1/(1 - CUSTOS!$M$30),1)</f>
        <v>1</v>
      </c>
    </row>
    <row r="39" spans="1:42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20">
        <f>'TR TUSD'!$L$39*'TR TUSD'!$L$60</f>
        <v>48.698907051497756</v>
      </c>
      <c r="M39" s="20">
        <f>'TR TUSD'!$M$39*'TR TUSD'!$M$60</f>
        <v>2.5344615588488981</v>
      </c>
      <c r="N39" s="20">
        <f ca="1">'TR TUSD'!$N$39*'TR TUSD'!$N$60</f>
        <v>0</v>
      </c>
      <c r="O39" s="20">
        <f>'TR TUSD'!$O$39*'TR TUSD'!$O$60</f>
        <v>0</v>
      </c>
      <c r="P39" s="20">
        <f>'TR TUSD'!$P$39*'TR TUSD'!$P$60</f>
        <v>0</v>
      </c>
      <c r="Q39" s="20">
        <f>'TR TUSD'!$Q$39*'TR TUSD'!$Q$60</f>
        <v>86.509846835570912</v>
      </c>
      <c r="R39" s="20">
        <f>'TR TUSD'!$R$39*'TR TUSD'!$R$60</f>
        <v>14.354023406416101</v>
      </c>
      <c r="S39" s="20">
        <f>'TR TUSD'!$S$39*'TR TUSD'!$S$60</f>
        <v>0</v>
      </c>
      <c r="T39" s="20">
        <f ca="1">SUM($L$39:$S$39)</f>
        <v>152.09723885233367</v>
      </c>
      <c r="U39" s="20">
        <f>'TR TUSD'!$U$39*'TR TUSD'!$U$60</f>
        <v>0</v>
      </c>
      <c r="V39" s="20">
        <f>'TR TUSD'!$V$39*'TR TUSD'!$V$60</f>
        <v>0</v>
      </c>
      <c r="W39" s="20">
        <f>'TR TUSD'!$W$39*'TR TUSD'!$W$60</f>
        <v>0</v>
      </c>
      <c r="X39" s="20">
        <f>'TR TUSD'!$X$39*'TR TUSD'!$X$60</f>
        <v>0</v>
      </c>
      <c r="Y39" s="20">
        <f>'TR TUSD'!$Y$39*'TR TUSD'!$Y$60</f>
        <v>529.38436151376493</v>
      </c>
      <c r="Z39" s="20">
        <f>'TR TUSD'!$Z$39</f>
        <v>0</v>
      </c>
      <c r="AA39" s="20">
        <f>'TR TUSD'!$AA$39</f>
        <v>0</v>
      </c>
      <c r="AB39" s="20">
        <f>SUM($U$39:$AA$39)</f>
        <v>529.38436151376493</v>
      </c>
      <c r="AC39" s="20">
        <f>'TR TUSD'!$AC$39*'TR TUSD'!$AC$60</f>
        <v>913.94412404440493</v>
      </c>
      <c r="AD39" s="20">
        <f>SUM($AC$39:$AC$39)</f>
        <v>913.94412404440493</v>
      </c>
      <c r="AE39" s="20">
        <v>0</v>
      </c>
      <c r="AF39" s="20">
        <v>0</v>
      </c>
      <c r="AG39" s="20">
        <f>SUM($AE$39:$AF$39)</f>
        <v>0</v>
      </c>
      <c r="AH39" s="20">
        <f>'TR TUSD'!$AH$39*'TR TUSD'!$AH$60</f>
        <v>18.256350949092976</v>
      </c>
      <c r="AI39" s="20">
        <f>'TR TUSD'!$AI$39*'TR TUSD'!$AI$60</f>
        <v>0</v>
      </c>
      <c r="AJ39" s="20">
        <f ca="1">'TR TUSD'!$AJ$39*'TR TUSD'!$AJ$60</f>
        <v>2.493291096681717</v>
      </c>
      <c r="AK39" s="20">
        <f ca="1">'TR TUSD'!$AK$39*'TR TUSD'!$AK$60</f>
        <v>0</v>
      </c>
      <c r="AL39" s="20">
        <f ca="1">SUM($AH$39:$AK$39)</f>
        <v>20.749642045774692</v>
      </c>
      <c r="AM39" s="20">
        <f ca="1">SUMIF($L$4:$AL$4,"SUBTOTAL",$L$39:$AL$39)</f>
        <v>1616.1753664562782</v>
      </c>
      <c r="AP39" s="20">
        <f>IF((1 - CUSTOS!$M$30)&lt;&gt;0,1/(1 - CUSTOS!$M$30),1)</f>
        <v>1</v>
      </c>
    </row>
    <row r="40" spans="1:42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20">
        <f>'TR TUSD'!$L$40*'TR TUSD'!$L$60</f>
        <v>48.698907051497756</v>
      </c>
      <c r="M40" s="20">
        <f>'TR TUSD'!$M$40*'TR TUSD'!$M$60</f>
        <v>2.5344615588488981</v>
      </c>
      <c r="N40" s="20">
        <f ca="1">'TR TUSD'!$N$40*'TR TUSD'!$N$60</f>
        <v>0</v>
      </c>
      <c r="O40" s="20">
        <f>'TR TUSD'!$O$40*'TR TUSD'!$O$60</f>
        <v>0</v>
      </c>
      <c r="P40" s="20">
        <f>'TR TUSD'!$P$40*'TR TUSD'!$P$60</f>
        <v>0</v>
      </c>
      <c r="Q40" s="20">
        <f>'TR TUSD'!$Q$40*'TR TUSD'!$Q$60</f>
        <v>86.509846835570912</v>
      </c>
      <c r="R40" s="20">
        <f>'TR TUSD'!$R$40*'TR TUSD'!$R$60</f>
        <v>14.354023406416101</v>
      </c>
      <c r="S40" s="20">
        <f>'TR TUSD'!$S$40*'TR TUSD'!$S$60</f>
        <v>0</v>
      </c>
      <c r="T40" s="20">
        <f ca="1">SUM($L$40:$S$40)</f>
        <v>152.09723885233367</v>
      </c>
      <c r="U40" s="20">
        <f>'TR TUSD'!$U$40*'TR TUSD'!$U$60</f>
        <v>0</v>
      </c>
      <c r="V40" s="20">
        <f>'TR TUSD'!$V$40*'TR TUSD'!$V$60</f>
        <v>0</v>
      </c>
      <c r="W40" s="20">
        <f>'TR TUSD'!$W$40*'TR TUSD'!$W$60</f>
        <v>0</v>
      </c>
      <c r="X40" s="20">
        <f>'TR TUSD'!$X$40*'TR TUSD'!$X$60</f>
        <v>0</v>
      </c>
      <c r="Y40" s="20">
        <f>'TR TUSD'!$Y$40*'TR TUSD'!$Y$60</f>
        <v>176.4627661966565</v>
      </c>
      <c r="Z40" s="20">
        <f>'TR TUSD'!$Z$40</f>
        <v>0</v>
      </c>
      <c r="AA40" s="20">
        <f>'TR TUSD'!$AA$40</f>
        <v>0</v>
      </c>
      <c r="AB40" s="20">
        <f>SUM($U$40:$AA$40)</f>
        <v>176.4627661966565</v>
      </c>
      <c r="AC40" s="20">
        <f>'TR TUSD'!$AC$40*'TR TUSD'!$AC$60</f>
        <v>304.64818908734622</v>
      </c>
      <c r="AD40" s="20">
        <f>SUM($AC$40:$AC$40)</f>
        <v>304.64818908734622</v>
      </c>
      <c r="AE40" s="20">
        <v>0</v>
      </c>
      <c r="AF40" s="20">
        <v>0</v>
      </c>
      <c r="AG40" s="20">
        <f>SUM($AE$40:$AF$40)</f>
        <v>0</v>
      </c>
      <c r="AH40" s="20">
        <f>'TR TUSD'!$AH$40*'TR TUSD'!$AH$60</f>
        <v>18.256350949092976</v>
      </c>
      <c r="AI40" s="20">
        <f>'TR TUSD'!$AI$40*'TR TUSD'!$AI$60</f>
        <v>0</v>
      </c>
      <c r="AJ40" s="20">
        <f ca="1">'TR TUSD'!$AJ$40*'TR TUSD'!$AJ$60</f>
        <v>2.493291096681717</v>
      </c>
      <c r="AK40" s="20">
        <f ca="1">'TR TUSD'!$AK$40*'TR TUSD'!$AK$60</f>
        <v>0</v>
      </c>
      <c r="AL40" s="20">
        <f ca="1">SUM($AH$40:$AK$40)</f>
        <v>20.749642045774692</v>
      </c>
      <c r="AM40" s="20">
        <f ca="1">SUMIF($L$4:$AL$4,"SUBTOTAL",$L$40:$AL$40)</f>
        <v>653.95783618211112</v>
      </c>
      <c r="AP40" s="20">
        <f>IF((1 - CUSTOS!$M$30)&lt;&gt;0,1/(1 - CUSTOS!$M$30),1)</f>
        <v>1</v>
      </c>
    </row>
    <row r="41" spans="1:42" ht="11.25" customHeight="1" x14ac:dyDescent="0.3">
      <c r="A41" s="125"/>
      <c r="B41" s="22" t="s">
        <v>23</v>
      </c>
      <c r="C41" s="22" t="s">
        <v>41</v>
      </c>
      <c r="D41" s="22" t="s">
        <v>86</v>
      </c>
      <c r="E41" s="22" t="s">
        <v>25</v>
      </c>
      <c r="F41" s="22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20">
        <f>'TR TUSD'!$L$41*'TR TUSD'!$L$60</f>
        <v>48.698907051497756</v>
      </c>
      <c r="M41" s="20">
        <f>'TR TUSD'!$M$41*'TR TUSD'!$M$60</f>
        <v>2.5344615588488981</v>
      </c>
      <c r="N41" s="20">
        <f ca="1">'TR TUSD'!$N$41*'TR TUSD'!$N$60</f>
        <v>0</v>
      </c>
      <c r="O41" s="20">
        <f>'TR TUSD'!$O$41*'TR TUSD'!$O$60</f>
        <v>0</v>
      </c>
      <c r="P41" s="20">
        <f>'TR TUSD'!$P$41*'TR TUSD'!$P$60</f>
        <v>0</v>
      </c>
      <c r="Q41" s="20">
        <f>'TR TUSD'!$Q$41*'TR TUSD'!$Q$60</f>
        <v>86.509846835570912</v>
      </c>
      <c r="R41" s="20">
        <f>'TR TUSD'!$R$41*'TR TUSD'!$R$60</f>
        <v>14.354023406416101</v>
      </c>
      <c r="S41" s="20">
        <f>'TR TUSD'!$S$41*'TR TUSD'!$S$60</f>
        <v>0</v>
      </c>
      <c r="T41" s="20">
        <f ca="1">SUM($L$41:$S$41)</f>
        <v>152.09723885233367</v>
      </c>
      <c r="U41" s="20">
        <f>'TR TUSD'!$U$41*'TR TUSD'!$U$60</f>
        <v>0</v>
      </c>
      <c r="V41" s="20">
        <f>'TR TUSD'!$V$41*'TR TUSD'!$V$60</f>
        <v>0</v>
      </c>
      <c r="W41" s="20">
        <f>'TR TUSD'!$W$41*'TR TUSD'!$W$60</f>
        <v>0</v>
      </c>
      <c r="X41" s="20">
        <f>'TR TUSD'!$X$41*'TR TUSD'!$X$60</f>
        <v>0</v>
      </c>
      <c r="Y41" s="20">
        <f>'TR TUSD'!$Y$41*'TR TUSD'!$Y$60</f>
        <v>294.10376115446178</v>
      </c>
      <c r="Z41" s="20">
        <f>'TR TUSD'!$Z$41</f>
        <v>0</v>
      </c>
      <c r="AA41" s="20">
        <f>'TR TUSD'!$AA$41</f>
        <v>0</v>
      </c>
      <c r="AB41" s="20">
        <f>SUM($U$41:$AA$41)</f>
        <v>294.10376115446178</v>
      </c>
      <c r="AC41" s="20">
        <f>'TR TUSD'!$AC$41*'TR TUSD'!$AC$60</f>
        <v>507.74668633382123</v>
      </c>
      <c r="AD41" s="20">
        <f>SUM($AC$41:$AC$41)</f>
        <v>507.74668633382123</v>
      </c>
      <c r="AE41" s="20">
        <v>0</v>
      </c>
      <c r="AF41" s="20">
        <v>0</v>
      </c>
      <c r="AG41" s="20">
        <f>SUM($AE$41:$AF$41)</f>
        <v>0</v>
      </c>
      <c r="AH41" s="20">
        <f>'TR TUSD'!$AH$41*'TR TUSD'!$AH$60</f>
        <v>18.256350949092976</v>
      </c>
      <c r="AI41" s="20">
        <f>'TR TUSD'!$AI$41*'TR TUSD'!$AI$60</f>
        <v>0</v>
      </c>
      <c r="AJ41" s="20">
        <f ca="1">'TR TUSD'!$AJ$41*'TR TUSD'!$AJ$60</f>
        <v>2.493291096681717</v>
      </c>
      <c r="AK41" s="20">
        <f ca="1">'TR TUSD'!$AK$41*'TR TUSD'!$AK$60</f>
        <v>0</v>
      </c>
      <c r="AL41" s="20">
        <f ca="1">SUM($AH$41:$AK$41)</f>
        <v>20.749642045774692</v>
      </c>
      <c r="AM41" s="20">
        <f ca="1">SUMIF($L$4:$AL$4,"SUBTOTAL",$L$41:$AL$41)</f>
        <v>974.69732838639129</v>
      </c>
      <c r="AP41" s="20">
        <f>IF((1 - CUSTOS!$M$30)&lt;&gt;0,1/(1 - CUSTOS!$M$30),1)</f>
        <v>1</v>
      </c>
    </row>
    <row r="42" spans="1:42" ht="11.25" customHeight="1" x14ac:dyDescent="0.3">
      <c r="A42" s="125"/>
      <c r="B42" s="125" t="s">
        <v>84</v>
      </c>
      <c r="C42" s="125" t="s">
        <v>41</v>
      </c>
      <c r="D42" s="22" t="s">
        <v>25</v>
      </c>
      <c r="E42" s="22" t="s">
        <v>25</v>
      </c>
      <c r="F42" s="22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20">
        <f>'TR TUSD'!$L$42*'TR TUSD'!$L$60</f>
        <v>48.698907051497756</v>
      </c>
      <c r="M42" s="20">
        <f>'TR TUSD'!$M$42*'TR TUSD'!$M$60</f>
        <v>2.5344615588488981</v>
      </c>
      <c r="N42" s="20">
        <f ca="1">'TR TUSD'!$N$42*'TR TUSD'!$N$60</f>
        <v>0</v>
      </c>
      <c r="O42" s="20">
        <f>'TR TUSD'!$O$42*'TR TUSD'!$O$60</f>
        <v>0</v>
      </c>
      <c r="P42" s="20">
        <f>'TR TUSD'!$P$42*'TR TUSD'!$P$60</f>
        <v>0</v>
      </c>
      <c r="Q42" s="20">
        <f>'TR TUSD'!$Q$42*'TR TUSD'!$Q$60</f>
        <v>86.509846835570912</v>
      </c>
      <c r="R42" s="20">
        <f>'TR TUSD'!$R$42*'TR TUSD'!$R$60</f>
        <v>14.354023406416101</v>
      </c>
      <c r="S42" s="20">
        <f>'TR TUSD'!$S$42*'TR TUSD'!$S$60</f>
        <v>0</v>
      </c>
      <c r="T42" s="20">
        <f ca="1">SUM($L$42:$S$42)</f>
        <v>152.09723885233367</v>
      </c>
      <c r="U42" s="20">
        <f>'TR TUSD'!$U$42*'TR TUSD'!$U$60</f>
        <v>0</v>
      </c>
      <c r="V42" s="20">
        <f>'TR TUSD'!$V$42*'TR TUSD'!$V$60</f>
        <v>0</v>
      </c>
      <c r="W42" s="20">
        <f>'TR TUSD'!$W$42*'TR TUSD'!$W$60</f>
        <v>0</v>
      </c>
      <c r="X42" s="20">
        <f>'TR TUSD'!$X$42*'TR TUSD'!$X$60</f>
        <v>0</v>
      </c>
      <c r="Y42" s="20">
        <f>'TR TUSD'!$Y$42*'TR TUSD'!$Y$60</f>
        <v>294.10376115446178</v>
      </c>
      <c r="Z42" s="20">
        <f>'TR TUSD'!$Z$42</f>
        <v>0</v>
      </c>
      <c r="AA42" s="20">
        <f>'TR TUSD'!$AA$42</f>
        <v>0</v>
      </c>
      <c r="AB42" s="20">
        <f>SUM($U$42:$AA$42)</f>
        <v>294.10376115446178</v>
      </c>
      <c r="AC42" s="20">
        <f>'TR TUSD'!$AC$42*'TR TUSD'!$AC$60</f>
        <v>507.74668633382123</v>
      </c>
      <c r="AD42" s="20">
        <f>SUM($AC$42:$AC$42)</f>
        <v>507.74668633382123</v>
      </c>
      <c r="AE42" s="20">
        <v>0</v>
      </c>
      <c r="AF42" s="20">
        <v>0</v>
      </c>
      <c r="AG42" s="20">
        <f>SUM($AE$42:$AF$42)</f>
        <v>0</v>
      </c>
      <c r="AH42" s="20">
        <f>'TR TUSD'!$AH$42*'TR TUSD'!$AH$60</f>
        <v>18.256350949092976</v>
      </c>
      <c r="AI42" s="20">
        <f>'TR TUSD'!$AI$42*'TR TUSD'!$AI$60</f>
        <v>0</v>
      </c>
      <c r="AJ42" s="20">
        <f ca="1">'TR TUSD'!$AJ$42*'TR TUSD'!$AJ$60</f>
        <v>2.493291096681717</v>
      </c>
      <c r="AK42" s="20">
        <f ca="1">'TR TUSD'!$AK$42*'TR TUSD'!$AK$60</f>
        <v>0</v>
      </c>
      <c r="AL42" s="20">
        <f ca="1">SUM($AH$42:$AK$42)</f>
        <v>20.749642045774692</v>
      </c>
      <c r="AM42" s="20">
        <f ca="1">SUMIF($L$4:$AL$4,"SUBTOTAL",$L$42:$AL$42)</f>
        <v>974.69732838639129</v>
      </c>
      <c r="AP42" s="20">
        <f>IF((1 - CUSTOS!$M$28)&lt;&gt;0,1/(1 - CUSTOS!$M$28),1)</f>
        <v>1</v>
      </c>
    </row>
    <row r="43" spans="1:42" ht="11.25" customHeight="1" x14ac:dyDescent="0.3">
      <c r="A43" s="125"/>
      <c r="B43" s="125"/>
      <c r="C43" s="125"/>
      <c r="D43" s="22" t="s">
        <v>85</v>
      </c>
      <c r="E43" s="22" t="s">
        <v>25</v>
      </c>
      <c r="F43" s="22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20">
        <f>'TR TUSD'!$L$43*'TR TUSD'!$L$60</f>
        <v>48.698907051497756</v>
      </c>
      <c r="M43" s="20">
        <f>'TR TUSD'!$M$43*'TR TUSD'!$M$60</f>
        <v>2.5344615588488981</v>
      </c>
      <c r="N43" s="20">
        <f ca="1">'TR TUSD'!$N$43*'TR TUSD'!$N$60</f>
        <v>0</v>
      </c>
      <c r="O43" s="20">
        <f>'TR TUSD'!$O$43*'TR TUSD'!$O$60</f>
        <v>0</v>
      </c>
      <c r="P43" s="20">
        <f>'TR TUSD'!$P$43*'TR TUSD'!$P$60</f>
        <v>0</v>
      </c>
      <c r="Q43" s="20">
        <f>'TR TUSD'!$Q$43*'TR TUSD'!$Q$60</f>
        <v>86.509846835570912</v>
      </c>
      <c r="R43" s="20">
        <f>'TR TUSD'!$R$43*'TR TUSD'!$R$60</f>
        <v>14.354023406416101</v>
      </c>
      <c r="S43" s="20">
        <f>'TR TUSD'!$S$43*'TR TUSD'!$S$60</f>
        <v>0</v>
      </c>
      <c r="T43" s="20">
        <f ca="1">SUM($L$43:$S$43)</f>
        <v>152.09723885233367</v>
      </c>
      <c r="U43" s="20">
        <f>'TR TUSD'!$U$43*'TR TUSD'!$U$60</f>
        <v>0</v>
      </c>
      <c r="V43" s="20">
        <f>'TR TUSD'!$V$43*'TR TUSD'!$V$60</f>
        <v>0</v>
      </c>
      <c r="W43" s="20">
        <f>'TR TUSD'!$W$43*'TR TUSD'!$W$60</f>
        <v>0</v>
      </c>
      <c r="X43" s="20">
        <f>'TR TUSD'!$X$43*'TR TUSD'!$X$60</f>
        <v>0</v>
      </c>
      <c r="Y43" s="20">
        <f>'TR TUSD'!$Y$43*'TR TUSD'!$Y$60</f>
        <v>294.10376115446178</v>
      </c>
      <c r="Z43" s="20">
        <f>'TR TUSD'!$Z$43</f>
        <v>0</v>
      </c>
      <c r="AA43" s="20">
        <f>'TR TUSD'!$AA$43</f>
        <v>0</v>
      </c>
      <c r="AB43" s="20">
        <f>SUM($U$43:$AA$43)</f>
        <v>294.10376115446178</v>
      </c>
      <c r="AC43" s="20">
        <f>'TR TUSD'!$AC$43*'TR TUSD'!$AC$60</f>
        <v>507.74668633382123</v>
      </c>
      <c r="AD43" s="20">
        <f>SUM($AC$43:$AC$43)</f>
        <v>507.74668633382123</v>
      </c>
      <c r="AE43" s="20">
        <v>0</v>
      </c>
      <c r="AF43" s="20">
        <v>0</v>
      </c>
      <c r="AG43" s="20">
        <f>SUM($AE$43:$AF$43)</f>
        <v>0</v>
      </c>
      <c r="AH43" s="20">
        <f>'TR TUSD'!$AH$43*'TR TUSD'!$AH$60</f>
        <v>18.256350949092976</v>
      </c>
      <c r="AI43" s="20">
        <f>'TR TUSD'!$AI$43*'TR TUSD'!$AI$60</f>
        <v>0</v>
      </c>
      <c r="AJ43" s="20">
        <f ca="1">'TR TUSD'!$AJ$43*'TR TUSD'!$AJ$60</f>
        <v>2.493291096681717</v>
      </c>
      <c r="AK43" s="20">
        <f ca="1">'TR TUSD'!$AK$43*'TR TUSD'!$AK$60</f>
        <v>0</v>
      </c>
      <c r="AL43" s="20">
        <f ca="1">SUM($AH$43:$AK$43)</f>
        <v>20.749642045774692</v>
      </c>
      <c r="AM43" s="20">
        <f ca="1">SUMIF($L$4:$AL$4,"SUBTOTAL",$L$43:$AL$43)</f>
        <v>974.69732838639129</v>
      </c>
      <c r="AP43" s="20">
        <f>IF((1 - CUSTOS!$M$29)&lt;&gt;0,1/(1 - CUSTOS!$M$29),1)</f>
        <v>1</v>
      </c>
    </row>
    <row r="44" spans="1:42" ht="11.25" customHeight="1" x14ac:dyDescent="0.3">
      <c r="A44" s="125"/>
      <c r="B44" s="125"/>
      <c r="C44" s="125"/>
      <c r="D44" s="22" t="s">
        <v>86</v>
      </c>
      <c r="E44" s="22" t="s">
        <v>25</v>
      </c>
      <c r="F44" s="22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20">
        <f>'TR TUSD'!$L$44*'TR TUSD'!$L$60</f>
        <v>48.698907051497756</v>
      </c>
      <c r="M44" s="20">
        <f>'TR TUSD'!$M$44*'TR TUSD'!$M$60</f>
        <v>2.5344615588488981</v>
      </c>
      <c r="N44" s="20">
        <f ca="1">'TR TUSD'!$N$44*'TR TUSD'!$N$60</f>
        <v>0</v>
      </c>
      <c r="O44" s="20">
        <f>'TR TUSD'!$O$44*'TR TUSD'!$O$60</f>
        <v>0</v>
      </c>
      <c r="P44" s="20">
        <f>'TR TUSD'!$P$44*'TR TUSD'!$P$60</f>
        <v>0</v>
      </c>
      <c r="Q44" s="20">
        <f>'TR TUSD'!$Q$44*'TR TUSD'!$Q$60</f>
        <v>86.509846835570912</v>
      </c>
      <c r="R44" s="20">
        <f>'TR TUSD'!$R$44*'TR TUSD'!$R$60</f>
        <v>14.354023406416101</v>
      </c>
      <c r="S44" s="20">
        <f>'TR TUSD'!$S$44*'TR TUSD'!$S$60</f>
        <v>0</v>
      </c>
      <c r="T44" s="20">
        <f ca="1">SUM($L$44:$S$44)</f>
        <v>152.09723885233367</v>
      </c>
      <c r="U44" s="20">
        <f>'TR TUSD'!$U$44*'TR TUSD'!$U$60</f>
        <v>0</v>
      </c>
      <c r="V44" s="20">
        <f>'TR TUSD'!$V$44*'TR TUSD'!$V$60</f>
        <v>0</v>
      </c>
      <c r="W44" s="20">
        <f>'TR TUSD'!$W$44*'TR TUSD'!$W$60</f>
        <v>0</v>
      </c>
      <c r="X44" s="20">
        <f>'TR TUSD'!$X$44*'TR TUSD'!$X$60</f>
        <v>0</v>
      </c>
      <c r="Y44" s="20">
        <f>'TR TUSD'!$Y$44*'TR TUSD'!$Y$60</f>
        <v>294.10376115446178</v>
      </c>
      <c r="Z44" s="20">
        <f>'TR TUSD'!$Z$44</f>
        <v>0</v>
      </c>
      <c r="AA44" s="20">
        <f>'TR TUSD'!$AA$44</f>
        <v>0</v>
      </c>
      <c r="AB44" s="20">
        <f>SUM($U$44:$AA$44)</f>
        <v>294.10376115446178</v>
      </c>
      <c r="AC44" s="20">
        <f>'TR TUSD'!$AC$44*'TR TUSD'!$AC$60</f>
        <v>507.74668633382123</v>
      </c>
      <c r="AD44" s="20">
        <f>SUM($AC$44:$AC$44)</f>
        <v>507.74668633382123</v>
      </c>
      <c r="AE44" s="20">
        <v>0</v>
      </c>
      <c r="AF44" s="20">
        <v>0</v>
      </c>
      <c r="AG44" s="20">
        <f>SUM($AE$44:$AF$44)</f>
        <v>0</v>
      </c>
      <c r="AH44" s="20">
        <f>'TR TUSD'!$AH$44*'TR TUSD'!$AH$60</f>
        <v>18.256350949092976</v>
      </c>
      <c r="AI44" s="20">
        <f>'TR TUSD'!$AI$44*'TR TUSD'!$AI$60</f>
        <v>0</v>
      </c>
      <c r="AJ44" s="20">
        <f ca="1">'TR TUSD'!$AJ$44*'TR TUSD'!$AJ$60</f>
        <v>2.493291096681717</v>
      </c>
      <c r="AK44" s="20">
        <f ca="1">'TR TUSD'!$AK$44*'TR TUSD'!$AK$60</f>
        <v>0</v>
      </c>
      <c r="AL44" s="20">
        <f ca="1">SUM($AH$44:$AK$44)</f>
        <v>20.749642045774692</v>
      </c>
      <c r="AM44" s="20">
        <f ca="1">SUMIF($L$4:$AL$4,"SUBTOTAL",$L$44:$AL$44)</f>
        <v>974.69732838639129</v>
      </c>
      <c r="AP44" s="20">
        <f>IF((1 - CUSTOS!$M$30)&lt;&gt;0,1/(1 - CUSTOS!$M$30),1)</f>
        <v>1</v>
      </c>
    </row>
    <row r="45" spans="1:42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20">
        <f>'TR TUSD'!$L$45*'TR TUSD'!$L$60</f>
        <v>48.698907051497756</v>
      </c>
      <c r="M45" s="20">
        <f>'TR TUSD'!$M$45*'TR TUSD'!$M$60</f>
        <v>2.5344615588488981</v>
      </c>
      <c r="N45" s="20">
        <f ca="1">'TR TUSD'!$N$45*'TR TUSD'!$N$60</f>
        <v>0</v>
      </c>
      <c r="O45" s="20">
        <f>'TR TUSD'!$O$45*'TR TUSD'!$O$60</f>
        <v>0</v>
      </c>
      <c r="P45" s="20">
        <f>'TR TUSD'!$P$45*'TR TUSD'!$P$60</f>
        <v>0</v>
      </c>
      <c r="Q45" s="20">
        <f>'TR TUSD'!$Q$45*'TR TUSD'!$Q$60</f>
        <v>86.509846835570912</v>
      </c>
      <c r="R45" s="20">
        <f>'TR TUSD'!$R$45*'TR TUSD'!$R$60</f>
        <v>14.354023406416101</v>
      </c>
      <c r="S45" s="20">
        <f>'TR TUSD'!$S$45*'TR TUSD'!$S$60</f>
        <v>0</v>
      </c>
      <c r="T45" s="20">
        <f ca="1">SUM($L$45:$S$45)</f>
        <v>152.09723885233367</v>
      </c>
      <c r="U45" s="20">
        <f>'TR TUSD'!$U$45*'TR TUSD'!$U$60</f>
        <v>0</v>
      </c>
      <c r="V45" s="20">
        <f>'TR TUSD'!$V$45*'TR TUSD'!$V$60</f>
        <v>0</v>
      </c>
      <c r="W45" s="20">
        <f>'TR TUSD'!$W$45*'TR TUSD'!$W$60</f>
        <v>0</v>
      </c>
      <c r="X45" s="20">
        <f>'TR TUSD'!$X$45*'TR TUSD'!$X$60</f>
        <v>0</v>
      </c>
      <c r="Y45" s="20">
        <f>'TR TUSD'!$Y$45*'TR TUSD'!$Y$60</f>
        <v>999.95054147580629</v>
      </c>
      <c r="Z45" s="20">
        <f>'TR TUSD'!$Z$45</f>
        <v>0</v>
      </c>
      <c r="AA45" s="20">
        <f>'TR TUSD'!$AA$45</f>
        <v>0</v>
      </c>
      <c r="AB45" s="20">
        <f>SUM($U$45:$AA$45)</f>
        <v>999.95054147580629</v>
      </c>
      <c r="AC45" s="20">
        <f>'TR TUSD'!$AC$45*'TR TUSD'!$AC$60</f>
        <v>1726.3387778567555</v>
      </c>
      <c r="AD45" s="20">
        <f>SUM($AC$45:$AC$45)</f>
        <v>1726.3387778567555</v>
      </c>
      <c r="AE45" s="20">
        <v>0</v>
      </c>
      <c r="AF45" s="20">
        <v>0</v>
      </c>
      <c r="AG45" s="20">
        <f>SUM($AE$45:$AF$45)</f>
        <v>0</v>
      </c>
      <c r="AH45" s="20">
        <f>'TR TUSD'!$AH$45*'TR TUSD'!$AH$60</f>
        <v>18.256350949092976</v>
      </c>
      <c r="AI45" s="20">
        <f>'TR TUSD'!$AI$45*'TR TUSD'!$AI$60</f>
        <v>0</v>
      </c>
      <c r="AJ45" s="20">
        <f ca="1">'TR TUSD'!$AJ$45*'TR TUSD'!$AJ$60</f>
        <v>2.493291096681717</v>
      </c>
      <c r="AK45" s="20">
        <f ca="1">'TR TUSD'!$AK$45*'TR TUSD'!$AK$60</f>
        <v>0</v>
      </c>
      <c r="AL45" s="20">
        <f ca="1">SUM($AH$45:$AK$45)</f>
        <v>20.749642045774692</v>
      </c>
      <c r="AM45" s="20">
        <f ca="1">SUMIF($L$4:$AL$4,"SUBTOTAL",$L$45:$AL$45)</f>
        <v>2899.1362002306701</v>
      </c>
      <c r="AP45" s="20">
        <f>IF((1 - CUSTOS!$M$31)&lt;&gt;0,1/(1 - CUSTOS!$M$31),1)</f>
        <v>1</v>
      </c>
    </row>
    <row r="46" spans="1:42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20">
        <f>'TR TUSD'!$L$46*'TR TUSD'!$L$60</f>
        <v>48.698907051497756</v>
      </c>
      <c r="M46" s="20">
        <f>'TR TUSD'!$M$46*'TR TUSD'!$M$60</f>
        <v>2.5344615588488981</v>
      </c>
      <c r="N46" s="20">
        <f ca="1">'TR TUSD'!$N$46*'TR TUSD'!$N$60</f>
        <v>0</v>
      </c>
      <c r="O46" s="20">
        <f>'TR TUSD'!$O$46*'TR TUSD'!$O$60</f>
        <v>0</v>
      </c>
      <c r="P46" s="20">
        <f>'TR TUSD'!$P$46*'TR TUSD'!$P$60</f>
        <v>0</v>
      </c>
      <c r="Q46" s="20">
        <f>'TR TUSD'!$Q$46*'TR TUSD'!$Q$60</f>
        <v>86.509846835570912</v>
      </c>
      <c r="R46" s="20">
        <f>'TR TUSD'!$R$46*'TR TUSD'!$R$60</f>
        <v>14.354023406416101</v>
      </c>
      <c r="S46" s="20">
        <f>'TR TUSD'!$S$46*'TR TUSD'!$S$60</f>
        <v>0</v>
      </c>
      <c r="T46" s="20">
        <f ca="1">SUM($L$46:$S$46)</f>
        <v>152.09723885233367</v>
      </c>
      <c r="U46" s="20">
        <f>'TR TUSD'!$U$46*'TR TUSD'!$U$60</f>
        <v>0</v>
      </c>
      <c r="V46" s="20">
        <f>'TR TUSD'!$V$46*'TR TUSD'!$V$60</f>
        <v>0</v>
      </c>
      <c r="W46" s="20">
        <f>'TR TUSD'!$W$46*'TR TUSD'!$W$60</f>
        <v>0</v>
      </c>
      <c r="X46" s="20">
        <f>'TR TUSD'!$X$46*'TR TUSD'!$X$60</f>
        <v>0</v>
      </c>
      <c r="Y46" s="20">
        <f>'TR TUSD'!$Y$46*'TR TUSD'!$Y$60</f>
        <v>599.97104282290934</v>
      </c>
      <c r="Z46" s="20">
        <f>'TR TUSD'!$Z$46</f>
        <v>0</v>
      </c>
      <c r="AA46" s="20">
        <f>'TR TUSD'!$AA$46</f>
        <v>0</v>
      </c>
      <c r="AB46" s="20">
        <f>SUM($U$46:$AA$46)</f>
        <v>599.97104282290934</v>
      </c>
      <c r="AC46" s="20">
        <f>'TR TUSD'!$AC$46*'TR TUSD'!$AC$60</f>
        <v>1035.8031559096448</v>
      </c>
      <c r="AD46" s="20">
        <f>SUM($AC$46:$AC$46)</f>
        <v>1035.8031559096448</v>
      </c>
      <c r="AE46" s="20">
        <v>0</v>
      </c>
      <c r="AF46" s="20">
        <v>0</v>
      </c>
      <c r="AG46" s="20">
        <f>SUM($AE$46:$AF$46)</f>
        <v>0</v>
      </c>
      <c r="AH46" s="20">
        <f>'TR TUSD'!$AH$46*'TR TUSD'!$AH$60</f>
        <v>18.256350949092976</v>
      </c>
      <c r="AI46" s="20">
        <f>'TR TUSD'!$AI$46*'TR TUSD'!$AI$60</f>
        <v>0</v>
      </c>
      <c r="AJ46" s="20">
        <f ca="1">'TR TUSD'!$AJ$46*'TR TUSD'!$AJ$60</f>
        <v>2.493291096681717</v>
      </c>
      <c r="AK46" s="20">
        <f ca="1">'TR TUSD'!$AK$46*'TR TUSD'!$AK$60</f>
        <v>0</v>
      </c>
      <c r="AL46" s="20">
        <f ca="1">SUM($AH$46:$AK$46)</f>
        <v>20.749642045774692</v>
      </c>
      <c r="AM46" s="20">
        <f ca="1">SUMIF($L$4:$AL$4,"SUBTOTAL",$L$46:$AL$46)</f>
        <v>1808.6210796306625</v>
      </c>
      <c r="AP46" s="20">
        <f>IF((1 - CUSTOS!$M$31)&lt;&gt;0,1/(1 - CUSTOS!$M$31),1)</f>
        <v>1</v>
      </c>
    </row>
    <row r="47" spans="1:42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20">
        <f>'TR TUSD'!$L$47*'TR TUSD'!$L$60</f>
        <v>48.698907051497756</v>
      </c>
      <c r="M47" s="20">
        <f>'TR TUSD'!$M$47*'TR TUSD'!$M$60</f>
        <v>2.5344615588488981</v>
      </c>
      <c r="N47" s="20">
        <f ca="1">'TR TUSD'!$N$47*'TR TUSD'!$N$60</f>
        <v>0</v>
      </c>
      <c r="O47" s="20">
        <f>'TR TUSD'!$O$47*'TR TUSD'!$O$60</f>
        <v>0</v>
      </c>
      <c r="P47" s="20">
        <f>'TR TUSD'!$P$47*'TR TUSD'!$P$60</f>
        <v>0</v>
      </c>
      <c r="Q47" s="20">
        <f>'TR TUSD'!$Q$47*'TR TUSD'!$Q$60</f>
        <v>86.509846835570912</v>
      </c>
      <c r="R47" s="20">
        <f>'TR TUSD'!$R$47*'TR TUSD'!$R$60</f>
        <v>14.354023406416101</v>
      </c>
      <c r="S47" s="20">
        <f>'TR TUSD'!$S$47*'TR TUSD'!$S$60</f>
        <v>0</v>
      </c>
      <c r="T47" s="20">
        <f ca="1">SUM($L$47:$S$47)</f>
        <v>152.09723885233367</v>
      </c>
      <c r="U47" s="20">
        <f>'TR TUSD'!$U$47*'TR TUSD'!$U$60</f>
        <v>0</v>
      </c>
      <c r="V47" s="20">
        <f>'TR TUSD'!$V$47*'TR TUSD'!$V$60</f>
        <v>0</v>
      </c>
      <c r="W47" s="20">
        <f>'TR TUSD'!$W$47*'TR TUSD'!$W$60</f>
        <v>0</v>
      </c>
      <c r="X47" s="20">
        <f>'TR TUSD'!$X$47*'TR TUSD'!$X$60</f>
        <v>0</v>
      </c>
      <c r="Y47" s="20">
        <f>'TR TUSD'!$Y$47*'TR TUSD'!$Y$60</f>
        <v>199.99154417001236</v>
      </c>
      <c r="Z47" s="20">
        <f>'TR TUSD'!$Z$47</f>
        <v>0</v>
      </c>
      <c r="AA47" s="20">
        <f>'TR TUSD'!$AA$47</f>
        <v>0</v>
      </c>
      <c r="AB47" s="20">
        <f>SUM($U$47:$AA$47)</f>
        <v>199.99154417001236</v>
      </c>
      <c r="AC47" s="20">
        <f>'TR TUSD'!$AC$47*'TR TUSD'!$AC$60</f>
        <v>345.26775557135107</v>
      </c>
      <c r="AD47" s="20">
        <f>SUM($AC$47:$AC$47)</f>
        <v>345.26775557135107</v>
      </c>
      <c r="AE47" s="20">
        <v>0</v>
      </c>
      <c r="AF47" s="20">
        <v>0</v>
      </c>
      <c r="AG47" s="20">
        <f>SUM($AE$47:$AF$47)</f>
        <v>0</v>
      </c>
      <c r="AH47" s="20">
        <f>'TR TUSD'!$AH$47*'TR TUSD'!$AH$60</f>
        <v>18.256350949092976</v>
      </c>
      <c r="AI47" s="20">
        <f>'TR TUSD'!$AI$47*'TR TUSD'!$AI$60</f>
        <v>0</v>
      </c>
      <c r="AJ47" s="20">
        <f ca="1">'TR TUSD'!$AJ$47*'TR TUSD'!$AJ$60</f>
        <v>2.493291096681717</v>
      </c>
      <c r="AK47" s="20">
        <f ca="1">'TR TUSD'!$AK$47*'TR TUSD'!$AK$60</f>
        <v>0</v>
      </c>
      <c r="AL47" s="20">
        <f ca="1">SUM($AH$47:$AK$47)</f>
        <v>20.749642045774692</v>
      </c>
      <c r="AM47" s="20">
        <f ca="1">SUMIF($L$4:$AL$4,"SUBTOTAL",$L$47:$AL$47)</f>
        <v>718.10618063947186</v>
      </c>
      <c r="AP47" s="20">
        <f>IF((1 - CUSTOS!$M$31)&lt;&gt;0,1/(1 - CUSTOS!$M$31),1)</f>
        <v>1</v>
      </c>
    </row>
    <row r="48" spans="1:42" ht="11.25" customHeight="1" x14ac:dyDescent="0.3">
      <c r="A48" s="125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20">
        <f>'TR TUSD'!$L$48*'TR TUSD'!$L$60</f>
        <v>48.698907051497756</v>
      </c>
      <c r="M48" s="20">
        <f>'TR TUSD'!$M$48*'TR TUSD'!$M$60</f>
        <v>2.5344615588488981</v>
      </c>
      <c r="N48" s="20">
        <f ca="1">'TR TUSD'!$N$48*'TR TUSD'!$N$60</f>
        <v>0</v>
      </c>
      <c r="O48" s="20">
        <f>'TR TUSD'!$O$48*'TR TUSD'!$O$60</f>
        <v>0</v>
      </c>
      <c r="P48" s="20">
        <f>'TR TUSD'!$P$48*'TR TUSD'!$P$60</f>
        <v>0</v>
      </c>
      <c r="Q48" s="20">
        <f>'TR TUSD'!$Q$48*'TR TUSD'!$Q$60</f>
        <v>86.509846835570912</v>
      </c>
      <c r="R48" s="20">
        <f>'TR TUSD'!$R$48*'TR TUSD'!$R$60</f>
        <v>14.354023406416101</v>
      </c>
      <c r="S48" s="20">
        <f>'TR TUSD'!$S$48*'TR TUSD'!$S$60</f>
        <v>0</v>
      </c>
      <c r="T48" s="20">
        <f ca="1">SUM($L$48:$S$48)</f>
        <v>152.09723885233367</v>
      </c>
      <c r="U48" s="20">
        <f>'TR TUSD'!$U$48*'TR TUSD'!$U$60</f>
        <v>0</v>
      </c>
      <c r="V48" s="20">
        <f>'TR TUSD'!$V$48*'TR TUSD'!$V$60</f>
        <v>0</v>
      </c>
      <c r="W48" s="20">
        <f>'TR TUSD'!$W$48*'TR TUSD'!$W$60</f>
        <v>0</v>
      </c>
      <c r="X48" s="20">
        <f>'TR TUSD'!$X$48*'TR TUSD'!$X$60</f>
        <v>0</v>
      </c>
      <c r="Y48" s="20">
        <f>'TR TUSD'!$Y$48*'TR TUSD'!$Y$60</f>
        <v>294.10376115446178</v>
      </c>
      <c r="Z48" s="20">
        <f>'TR TUSD'!$Z$48</f>
        <v>0</v>
      </c>
      <c r="AA48" s="20">
        <f>'TR TUSD'!$AA$48</f>
        <v>0</v>
      </c>
      <c r="AB48" s="20">
        <f>SUM($U$48:$AA$48)</f>
        <v>294.10376115446178</v>
      </c>
      <c r="AC48" s="20">
        <f>'TR TUSD'!$AC$48*'TR TUSD'!$AC$60</f>
        <v>507.74668633382123</v>
      </c>
      <c r="AD48" s="20">
        <f>SUM($AC$48:$AC$48)</f>
        <v>507.74668633382123</v>
      </c>
      <c r="AE48" s="20">
        <v>0</v>
      </c>
      <c r="AF48" s="20">
        <v>0</v>
      </c>
      <c r="AG48" s="20">
        <f>SUM($AE$48:$AF$48)</f>
        <v>0</v>
      </c>
      <c r="AH48" s="20">
        <f>'TR TUSD'!$AH$48*'TR TUSD'!$AH$60</f>
        <v>18.256350949092976</v>
      </c>
      <c r="AI48" s="20">
        <f>'TR TUSD'!$AI$48*'TR TUSD'!$AI$60</f>
        <v>0</v>
      </c>
      <c r="AJ48" s="20">
        <f ca="1">'TR TUSD'!$AJ$48*'TR TUSD'!$AJ$60</f>
        <v>2.493291096681717</v>
      </c>
      <c r="AK48" s="20">
        <f ca="1">'TR TUSD'!$AK$48*'TR TUSD'!$AK$60</f>
        <v>0</v>
      </c>
      <c r="AL48" s="20">
        <f ca="1">SUM($AH$48:$AK$48)</f>
        <v>20.749642045774692</v>
      </c>
      <c r="AM48" s="20">
        <f ca="1">SUMIF($L$4:$AL$4,"SUBTOTAL",$L$48:$AL$48)</f>
        <v>974.69732838639129</v>
      </c>
      <c r="AP48" s="20">
        <f>IF((1 - CUSTOS!$M$31)&lt;&gt;0,1/(1 - CUSTOS!$M$31),1)</f>
        <v>1</v>
      </c>
    </row>
    <row r="49" spans="1:42" ht="11.25" customHeight="1" x14ac:dyDescent="0.3">
      <c r="A49" s="125"/>
      <c r="B49" s="22" t="s">
        <v>84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20">
        <f>'TR TUSD'!$L$49*'TR TUSD'!$L$60</f>
        <v>48.698907051497756</v>
      </c>
      <c r="M49" s="20">
        <f>'TR TUSD'!$M$49*'TR TUSD'!$M$60</f>
        <v>2.5344615588488981</v>
      </c>
      <c r="N49" s="20">
        <f ca="1">'TR TUSD'!$N$49*'TR TUSD'!$N$60</f>
        <v>0</v>
      </c>
      <c r="O49" s="20">
        <f>'TR TUSD'!$O$49*'TR TUSD'!$O$60</f>
        <v>0</v>
      </c>
      <c r="P49" s="20">
        <f>'TR TUSD'!$P$49*'TR TUSD'!$P$60</f>
        <v>0</v>
      </c>
      <c r="Q49" s="20">
        <f>'TR TUSD'!$Q$49*'TR TUSD'!$Q$60</f>
        <v>86.509846835570912</v>
      </c>
      <c r="R49" s="20">
        <f>'TR TUSD'!$R$49*'TR TUSD'!$R$60</f>
        <v>14.354023406416101</v>
      </c>
      <c r="S49" s="20">
        <f>'TR TUSD'!$S$49*'TR TUSD'!$S$60</f>
        <v>0</v>
      </c>
      <c r="T49" s="20">
        <f ca="1">SUM($L$49:$S$49)</f>
        <v>152.09723885233367</v>
      </c>
      <c r="U49" s="20">
        <f>'TR TUSD'!$U$49*'TR TUSD'!$U$60</f>
        <v>0</v>
      </c>
      <c r="V49" s="20">
        <f>'TR TUSD'!$V$49*'TR TUSD'!$V$60</f>
        <v>0</v>
      </c>
      <c r="W49" s="20">
        <f>'TR TUSD'!$W$49*'TR TUSD'!$W$60</f>
        <v>0</v>
      </c>
      <c r="X49" s="20">
        <f>'TR TUSD'!$X$49*'TR TUSD'!$X$60</f>
        <v>0</v>
      </c>
      <c r="Y49" s="20">
        <f>'TR TUSD'!$Y$49*'TR TUSD'!$Y$60</f>
        <v>294.10376115446178</v>
      </c>
      <c r="Z49" s="20">
        <f>'TR TUSD'!$Z$49</f>
        <v>0</v>
      </c>
      <c r="AA49" s="20">
        <f>'TR TUSD'!$AA$49</f>
        <v>0</v>
      </c>
      <c r="AB49" s="20">
        <f>SUM($U$49:$AA$49)</f>
        <v>294.10376115446178</v>
      </c>
      <c r="AC49" s="20">
        <f>'TR TUSD'!$AC$49*'TR TUSD'!$AC$60</f>
        <v>507.74668633382123</v>
      </c>
      <c r="AD49" s="20">
        <f>SUM($AC$49:$AC$49)</f>
        <v>507.74668633382123</v>
      </c>
      <c r="AE49" s="20">
        <v>0</v>
      </c>
      <c r="AF49" s="20">
        <v>0</v>
      </c>
      <c r="AG49" s="20">
        <f>SUM($AE$49:$AF$49)</f>
        <v>0</v>
      </c>
      <c r="AH49" s="20">
        <f>'TR TUSD'!$AH$49*'TR TUSD'!$AH$60</f>
        <v>18.256350949092976</v>
      </c>
      <c r="AI49" s="20">
        <f>'TR TUSD'!$AI$49*'TR TUSD'!$AI$60</f>
        <v>0</v>
      </c>
      <c r="AJ49" s="20">
        <f ca="1">'TR TUSD'!$AJ$49*'TR TUSD'!$AJ$60</f>
        <v>2.493291096681717</v>
      </c>
      <c r="AK49" s="20">
        <f ca="1">'TR TUSD'!$AK$49*'TR TUSD'!$AK$60</f>
        <v>0</v>
      </c>
      <c r="AL49" s="20">
        <f ca="1">SUM($AH$49:$AK$49)</f>
        <v>20.749642045774692</v>
      </c>
      <c r="AM49" s="20">
        <f ca="1">SUMIF($L$4:$AL$4,"SUBTOTAL",$L$49:$AL$49)</f>
        <v>974.69732838639129</v>
      </c>
      <c r="AP49" s="20">
        <f>IF((1 - CUSTOS!$M$31)&lt;&gt;0,1/(1 - CUSTOS!$M$31),1)</f>
        <v>1</v>
      </c>
    </row>
    <row r="50" spans="1:42" ht="11.25" customHeight="1" x14ac:dyDescent="0.3">
      <c r="A50" s="125" t="s">
        <v>43</v>
      </c>
      <c r="B50" s="125" t="s">
        <v>23</v>
      </c>
      <c r="C50" s="125" t="s">
        <v>44</v>
      </c>
      <c r="D50" s="22" t="s">
        <v>45</v>
      </c>
      <c r="E50" s="22" t="s">
        <v>25</v>
      </c>
      <c r="F50" s="22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20">
        <f>'TR TUSD'!$L$50*'TR TUSD'!$L$60</f>
        <v>25.810420737293811</v>
      </c>
      <c r="M50" s="20">
        <f>'TR TUSD'!$M$50*'TR TUSD'!$M$60</f>
        <v>1.3432646261899162</v>
      </c>
      <c r="N50" s="20">
        <f ca="1">'TR TUSD'!$N$50*'TR TUSD'!$N$60</f>
        <v>0</v>
      </c>
      <c r="O50" s="20">
        <f>'TR TUSD'!$O$50*'TR TUSD'!$O$60</f>
        <v>0</v>
      </c>
      <c r="P50" s="20">
        <f>'TR TUSD'!$P$50*'TR TUSD'!$P$60</f>
        <v>0</v>
      </c>
      <c r="Q50" s="20">
        <f>'TR TUSD'!$Q$50*'TR TUSD'!$Q$60</f>
        <v>45.850218822852582</v>
      </c>
      <c r="R50" s="20">
        <f>'TR TUSD'!$R$50*'TR TUSD'!$R$60</f>
        <v>7.6076324054005333</v>
      </c>
      <c r="S50" s="20">
        <f>'TR TUSD'!$S$50*'TR TUSD'!$S$60</f>
        <v>0</v>
      </c>
      <c r="T50" s="20">
        <f ca="1">SUM($L$50:$S$50)</f>
        <v>80.611536591736851</v>
      </c>
      <c r="U50" s="20">
        <f>'TR TUSD'!$U$50*'TR TUSD'!$U$60</f>
        <v>0</v>
      </c>
      <c r="V50" s="20">
        <f>'TR TUSD'!$V$50*'TR TUSD'!$V$60</f>
        <v>0</v>
      </c>
      <c r="W50" s="20">
        <f>'TR TUSD'!$W$50*'TR TUSD'!$W$60</f>
        <v>0</v>
      </c>
      <c r="X50" s="20">
        <f>'TR TUSD'!$X$50*'TR TUSD'!$X$60</f>
        <v>0</v>
      </c>
      <c r="Y50" s="20">
        <f>'TR TUSD'!$Y$50*'TR TUSD'!$Y$60</f>
        <v>155.87499341186478</v>
      </c>
      <c r="Z50" s="20">
        <f>'TR TUSD'!$Z$50</f>
        <v>0</v>
      </c>
      <c r="AA50" s="20">
        <f>'TR TUSD'!$AA$50</f>
        <v>0</v>
      </c>
      <c r="AB50" s="20">
        <f>SUM($U$50:$AA$50)</f>
        <v>155.87499341186478</v>
      </c>
      <c r="AC50" s="20">
        <f>'TR TUSD'!$AC$50*'TR TUSD'!$AC$60</f>
        <v>269.10574375692522</v>
      </c>
      <c r="AD50" s="20">
        <f>SUM($AC$50:$AC$50)</f>
        <v>269.10574375692522</v>
      </c>
      <c r="AE50" s="20">
        <v>0</v>
      </c>
      <c r="AF50" s="20">
        <v>0</v>
      </c>
      <c r="AG50" s="20">
        <f>SUM($AE$50:$AF$50)</f>
        <v>0</v>
      </c>
      <c r="AH50" s="20">
        <f>'TR TUSD'!$AH$50*'TR TUSD'!$AH$60</f>
        <v>9.6758660030192782</v>
      </c>
      <c r="AI50" s="20">
        <f>'TR TUSD'!$AI$50*'TR TUSD'!$AI$60</f>
        <v>0</v>
      </c>
      <c r="AJ50" s="20">
        <f ca="1">'TR TUSD'!$AJ$50*'TR TUSD'!$AJ$60</f>
        <v>1.3214442812413099</v>
      </c>
      <c r="AK50" s="20">
        <f ca="1">'TR TUSD'!$AK$50*'TR TUSD'!$AK$60</f>
        <v>0</v>
      </c>
      <c r="AL50" s="20">
        <f ca="1">SUM($AH$50:$AK$50)</f>
        <v>10.997310284260589</v>
      </c>
      <c r="AM50" s="20">
        <f ca="1">SUMIF($L$4:$AL$4,"SUBTOTAL",$L$50:$AL$50)</f>
        <v>516.58958404478744</v>
      </c>
      <c r="AP50" s="20">
        <f>IF((1 - CUSTOS!$M$32)&lt;&gt;0,1/(1 - CUSTOS!$M$32),1)</f>
        <v>1.8867924528301885</v>
      </c>
    </row>
    <row r="51" spans="1:42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20">
        <f>'TR TUSD'!$L$51*'TR TUSD'!$L$60</f>
        <v>28.245366089868703</v>
      </c>
      <c r="M51" s="20">
        <f>'TR TUSD'!$M$51*'TR TUSD'!$M$60</f>
        <v>1.4699877041323612</v>
      </c>
      <c r="N51" s="20">
        <f ca="1">'TR TUSD'!$N$51*'TR TUSD'!$N$60</f>
        <v>0</v>
      </c>
      <c r="O51" s="20">
        <f>'TR TUSD'!$O$51*'TR TUSD'!$O$60</f>
        <v>0</v>
      </c>
      <c r="P51" s="20">
        <f>'TR TUSD'!$P$51*'TR TUSD'!$P$60</f>
        <v>0</v>
      </c>
      <c r="Q51" s="20">
        <f>'TR TUSD'!$Q$51*'TR TUSD'!$Q$60</f>
        <v>50.175711164631132</v>
      </c>
      <c r="R51" s="20">
        <f>'TR TUSD'!$R$51*'TR TUSD'!$R$60</f>
        <v>8.3253335757213396</v>
      </c>
      <c r="S51" s="20">
        <f>'TR TUSD'!$S$51*'TR TUSD'!$S$60</f>
        <v>0</v>
      </c>
      <c r="T51" s="20">
        <f ca="1">SUM($L$51:$S$51)</f>
        <v>88.216398534353544</v>
      </c>
      <c r="U51" s="20">
        <f>'TR TUSD'!$U$51*'TR TUSD'!$U$60</f>
        <v>0</v>
      </c>
      <c r="V51" s="20">
        <f>'TR TUSD'!$V$51*'TR TUSD'!$V$60</f>
        <v>0</v>
      </c>
      <c r="W51" s="20">
        <f>'TR TUSD'!$W$51*'TR TUSD'!$W$60</f>
        <v>0</v>
      </c>
      <c r="X51" s="20">
        <f>'TR TUSD'!$X$51*'TR TUSD'!$X$60</f>
        <v>0</v>
      </c>
      <c r="Y51" s="20">
        <f>'TR TUSD'!$Y$51*'TR TUSD'!$Y$60</f>
        <v>170.58018146958787</v>
      </c>
      <c r="Z51" s="20">
        <f>'TR TUSD'!$Z$51</f>
        <v>0</v>
      </c>
      <c r="AA51" s="20">
        <f>'TR TUSD'!$AA$51</f>
        <v>0</v>
      </c>
      <c r="AB51" s="20">
        <f>SUM($U$51:$AA$51)</f>
        <v>170.58018146958787</v>
      </c>
      <c r="AC51" s="20">
        <f>'TR TUSD'!$AC$51*'TR TUSD'!$AC$60</f>
        <v>294.49307807361635</v>
      </c>
      <c r="AD51" s="20">
        <f>SUM($AC$51:$AC$51)</f>
        <v>294.49307807361635</v>
      </c>
      <c r="AE51" s="20">
        <v>0</v>
      </c>
      <c r="AF51" s="20">
        <v>0</v>
      </c>
      <c r="AG51" s="20">
        <f>SUM($AE$51:$AF$51)</f>
        <v>0</v>
      </c>
      <c r="AH51" s="20">
        <f>'TR TUSD'!$AH$51*'TR TUSD'!$AH$60</f>
        <v>10.588683550473927</v>
      </c>
      <c r="AI51" s="20">
        <f>'TR TUSD'!$AI$51*'TR TUSD'!$AI$60</f>
        <v>0</v>
      </c>
      <c r="AJ51" s="20">
        <f ca="1">'TR TUSD'!$AJ$51*'TR TUSD'!$AJ$60</f>
        <v>1.446108836075396</v>
      </c>
      <c r="AK51" s="20">
        <f ca="1">'TR TUSD'!$AK$51*'TR TUSD'!$AK$60</f>
        <v>0</v>
      </c>
      <c r="AL51" s="20">
        <f ca="1">SUM($AH$51:$AK$51)</f>
        <v>12.034792386549324</v>
      </c>
      <c r="AM51" s="20">
        <f ca="1">SUMIF($L$4:$AL$4,"SUBTOTAL",$L$51:$AL$51)</f>
        <v>565.32445046410703</v>
      </c>
      <c r="AP51" s="20">
        <f>IF((1 - CUSTOS!$M$33)&lt;&gt;0,1/(1 - CUSTOS!$M$33),1)</f>
        <v>1.7241379310344827</v>
      </c>
    </row>
    <row r="53" spans="1:42" ht="11.25" customHeight="1" x14ac:dyDescent="0.3">
      <c r="K53" s="24" t="s">
        <v>456</v>
      </c>
      <c r="L53" s="20">
        <f>SUMPRODUCT($I$5:$I51,$L$5:$L51)</f>
        <v>940401.95930646488</v>
      </c>
      <c r="M53" s="20">
        <f>SUMPRODUCT($I$5:$I51,$M$5:$M51)</f>
        <v>48815.20758835032</v>
      </c>
      <c r="N53" s="20">
        <f ca="1">SUMPRODUCT($I$5:$I51,$N$5:$N51)</f>
        <v>0</v>
      </c>
      <c r="O53" s="20">
        <f>SUMPRODUCT($I$5:$I51,$O$5:$O51)</f>
        <v>0</v>
      </c>
      <c r="P53" s="20">
        <f>SUMPRODUCT($I$5:$I51,$P$5:$P51)</f>
        <v>0</v>
      </c>
      <c r="Q53" s="20">
        <f>SUMPRODUCT($I$5:$I51,$Q$5:$Q51)</f>
        <v>1670551.4433299995</v>
      </c>
      <c r="R53" s="20">
        <f>SUMPRODUCT($I$5:$I51,$R$5:$R51)</f>
        <v>283354.38656999992</v>
      </c>
      <c r="S53" s="20">
        <f>SUMPRODUCT($I$5:$I51,$S$5:$S51)</f>
        <v>0</v>
      </c>
      <c r="T53" s="20">
        <f ca="1">SUMPRODUCT($I$5:$I51,$T$5:$T51)</f>
        <v>2943122.9967948147</v>
      </c>
      <c r="U53" s="20">
        <f>SUMPRODUCT($I$5:$I51,$U$5:$U51)</f>
        <v>0</v>
      </c>
      <c r="V53" s="20">
        <f>SUMPRODUCT($I$5:$I51,$V$5:$V51)</f>
        <v>0</v>
      </c>
      <c r="W53" s="20">
        <f>SUMPRODUCT($I$5:$I51,$W$5:$W51)</f>
        <v>0</v>
      </c>
      <c r="X53" s="20">
        <f>SUMPRODUCT($I$5:$I51,$X$5:$X51)</f>
        <v>0</v>
      </c>
      <c r="Y53" s="20">
        <f>SUMPRODUCT($I$5:$I51,$Y$5:$Y51)</f>
        <v>5653993.3905727202</v>
      </c>
      <c r="Z53" s="20">
        <f>SUMPRODUCT($I$5:$I51,$Z$5:$Z51)</f>
        <v>0</v>
      </c>
      <c r="AA53" s="20">
        <f>SUMPRODUCT($I$5:$I51,$AA$5:$AA51)</f>
        <v>0</v>
      </c>
      <c r="AB53" s="20">
        <f>SUMPRODUCT($I$5:$I51,$AB$5:$AB51)</f>
        <v>5653993.3905727202</v>
      </c>
      <c r="AC53" s="20">
        <f>SUMPRODUCT($I$5:$I51,$AC$5:$AC51)</f>
        <v>9779497.2700000014</v>
      </c>
      <c r="AD53" s="20">
        <f>SUMPRODUCT($I$5:$I51,$AD$5:$AD51)</f>
        <v>9779497.2700000014</v>
      </c>
      <c r="AE53" s="20">
        <f>SUMPRODUCT($I$5:$I51,$AE$5:$AE51)</f>
        <v>0</v>
      </c>
      <c r="AF53" s="20">
        <f>SUMPRODUCT($I$5:$I51,$AF$5:$AF51)</f>
        <v>0</v>
      </c>
      <c r="AG53" s="20">
        <f>SUMPRODUCT($I$5:$I51,$AG$5:$AG51)</f>
        <v>0</v>
      </c>
      <c r="AH53" s="20">
        <f>SUMPRODUCT($I$5:$I51,$AH$5:$AH51)</f>
        <v>337619.91186636913</v>
      </c>
      <c r="AI53" s="20">
        <f>SUMPRODUCT($I$5:$I51,$AI$5:$AI51)</f>
        <v>0</v>
      </c>
      <c r="AJ53" s="20">
        <f ca="1">SUMPRODUCT($I$5:$I51,$AJ$5:$AJ51)</f>
        <v>48170.677629210681</v>
      </c>
      <c r="AK53" s="20">
        <f ca="1">SUMPRODUCT($I$5:$I51,$AK$5:$AK51)</f>
        <v>0</v>
      </c>
      <c r="AL53" s="20">
        <f ca="1">SUMPRODUCT($I$5:$I51,$AL$5:$AL51)</f>
        <v>385790.58949557977</v>
      </c>
      <c r="AM53" s="20">
        <f ca="1">SUMPRODUCT($I$5:$I51,$AM$5:$AM51)</f>
        <v>18762404.246863116</v>
      </c>
    </row>
    <row r="54" spans="1:42" ht="11.25" customHeight="1" x14ac:dyDescent="0.3">
      <c r="K54" s="24" t="s">
        <v>388</v>
      </c>
      <c r="L54" s="20">
        <f>'TR TUSD'!$L$56</f>
        <v>940401.95930646476</v>
      </c>
      <c r="M54" s="20">
        <f>'TR TUSD'!$M$56</f>
        <v>48815.20758835032</v>
      </c>
      <c r="N54" s="20">
        <f>'TR TUSD'!$N$56</f>
        <v>0</v>
      </c>
      <c r="O54" s="20">
        <f>'TR TUSD'!$O$56</f>
        <v>0</v>
      </c>
      <c r="P54" s="20">
        <f>'TR TUSD'!$P$56</f>
        <v>0</v>
      </c>
      <c r="Q54" s="20">
        <f>'TR TUSD'!$Q$56</f>
        <v>1670551.4433299995</v>
      </c>
      <c r="R54" s="20">
        <f>'TR TUSD'!$R$56</f>
        <v>283354.38656999997</v>
      </c>
      <c r="S54" s="20">
        <f>'TR TUSD'!$S$56</f>
        <v>0</v>
      </c>
      <c r="T54" s="20">
        <f>'TR TUSD'!$T$56</f>
        <v>2943122.9967948147</v>
      </c>
      <c r="U54" s="20">
        <f>'TR TUSD'!$U$56</f>
        <v>0</v>
      </c>
      <c r="V54" s="20">
        <f>'TR TUSD'!$V$56</f>
        <v>0</v>
      </c>
      <c r="W54" s="20">
        <f>'TR TUSD'!$W$56</f>
        <v>0</v>
      </c>
      <c r="X54" s="20">
        <f>'TR TUSD'!$X$56</f>
        <v>0</v>
      </c>
      <c r="Y54" s="20">
        <f>'TR TUSD'!$Y$56</f>
        <v>5653993.3905727211</v>
      </c>
      <c r="Z54" s="20">
        <f>'TR TUSD'!$Z$56</f>
        <v>0</v>
      </c>
      <c r="AA54" s="20">
        <f>'TR TUSD'!$AA$56</f>
        <v>0</v>
      </c>
      <c r="AB54" s="20">
        <f>'TR TUSD'!$AB$56</f>
        <v>5653993.3905727211</v>
      </c>
      <c r="AC54" s="20">
        <f>'TR TUSD'!$AC$56</f>
        <v>9779497.2699999996</v>
      </c>
      <c r="AD54" s="20">
        <f>'TR TUSD'!$AD$56</f>
        <v>9779497.2699999996</v>
      </c>
      <c r="AE54" s="20">
        <f>'TR TUSD'!$AE$56</f>
        <v>0</v>
      </c>
      <c r="AF54" s="20">
        <f>'TR TUSD'!$AF$56</f>
        <v>0</v>
      </c>
      <c r="AG54" s="20">
        <f>'TR TUSD'!$AG$56</f>
        <v>0</v>
      </c>
      <c r="AH54" s="20">
        <f>'TR TUSD'!$AH$56</f>
        <v>337619.91186636908</v>
      </c>
      <c r="AI54" s="20">
        <f>'TR TUSD'!$AI$56</f>
        <v>0</v>
      </c>
      <c r="AJ54" s="20">
        <f>'TR TUSD'!$AJ$56</f>
        <v>48170.677629210666</v>
      </c>
      <c r="AK54" s="20">
        <f>'TR TUSD'!$AK$56</f>
        <v>0</v>
      </c>
      <c r="AL54" s="20">
        <f>'TR TUSD'!$AL$56</f>
        <v>385790.58949557971</v>
      </c>
      <c r="AM54" s="20">
        <f>CUSTOS!$D$29</f>
        <v>18762404.246863116</v>
      </c>
    </row>
    <row r="55" spans="1:42" ht="11.25" customHeight="1" x14ac:dyDescent="0.3">
      <c r="K55" s="24" t="s">
        <v>389</v>
      </c>
      <c r="L55" s="20">
        <f>CUSTOS!$E$2</f>
        <v>0</v>
      </c>
      <c r="M55" s="20">
        <f>CUSTOS!$E$3</f>
        <v>-3035.8732116039228</v>
      </c>
      <c r="N55" s="20">
        <f>CUSTOS!$E$4</f>
        <v>0</v>
      </c>
      <c r="O55" s="20">
        <f>CUSTOS!$E$5</f>
        <v>0</v>
      </c>
      <c r="P55" s="20">
        <f>CUSTOS!$E$6</f>
        <v>0</v>
      </c>
      <c r="Q55" s="20">
        <f>CUSTOS!$E$7</f>
        <v>-144857.12853692571</v>
      </c>
      <c r="R55" s="20">
        <f>CUSTOS!$E$8</f>
        <v>-12708.347033321957</v>
      </c>
      <c r="S55" s="20">
        <f>CUSTOS!$E$9</f>
        <v>0</v>
      </c>
      <c r="T55" s="20">
        <f>CUSTOS!$E$10</f>
        <v>-160601.34878185159</v>
      </c>
      <c r="U55" s="20">
        <f>CUSTOS!$E$11</f>
        <v>0</v>
      </c>
      <c r="V55" s="20">
        <f>CUSTOS!$E$12</f>
        <v>0</v>
      </c>
      <c r="W55" s="20">
        <f>CUSTOS!$E$13</f>
        <v>0</v>
      </c>
      <c r="X55" s="20">
        <f>CUSTOS!$E$14</f>
        <v>0</v>
      </c>
      <c r="Y55" s="20">
        <f>CUSTOS!$E$15</f>
        <v>1764642.8512380794</v>
      </c>
      <c r="Z55" s="20">
        <f>CUSTOS!$E$16</f>
        <v>0</v>
      </c>
      <c r="AA55" s="20">
        <f>CUSTOS!$E$17</f>
        <v>0</v>
      </c>
      <c r="AB55" s="20">
        <f>CUSTOS!$E$18</f>
        <v>1764642.8512380794</v>
      </c>
      <c r="AC55" s="20">
        <f>CUSTOS!$E$19</f>
        <v>-320580.44753324438</v>
      </c>
      <c r="AD55" s="20">
        <f>CUSTOS!$E$20</f>
        <v>-320580.44753324438</v>
      </c>
      <c r="AE55" s="20">
        <f>CUSTOS!$E$21</f>
        <v>0</v>
      </c>
      <c r="AF55" s="20">
        <f>CUSTOS!$E$22</f>
        <v>0</v>
      </c>
      <c r="AG55" s="20">
        <f>CUSTOS!$E$23</f>
        <v>0</v>
      </c>
      <c r="AH55" s="20">
        <f>CUSTOS!$E$24</f>
        <v>80207.561574186955</v>
      </c>
      <c r="AI55" s="20">
        <f>CUSTOS!$E$25</f>
        <v>0</v>
      </c>
      <c r="AJ55" s="20">
        <f>CUSTOS!$E$26</f>
        <v>11443.793615894519</v>
      </c>
      <c r="AK55" s="20">
        <f>CUSTOS!$E$27</f>
        <v>0</v>
      </c>
      <c r="AL55" s="20">
        <f>CUSTOS!$E$28</f>
        <v>91651.355190081478</v>
      </c>
      <c r="AM55" s="20">
        <f>CUSTOS!$E$29</f>
        <v>1375112.410113065</v>
      </c>
    </row>
    <row r="56" spans="1:42" ht="11.25" customHeight="1" x14ac:dyDescent="0.3">
      <c r="K56" s="24" t="s">
        <v>390</v>
      </c>
      <c r="L56" s="20">
        <f>CUSTOS!$F$2</f>
        <v>0</v>
      </c>
      <c r="M56" s="20">
        <f>CUSTOS!$F$3</f>
        <v>0</v>
      </c>
      <c r="N56" s="20">
        <f>CUSTOS!$F$4</f>
        <v>0</v>
      </c>
      <c r="O56" s="20">
        <f>CUSTOS!$F$5</f>
        <v>0</v>
      </c>
      <c r="P56" s="20">
        <f>CUSTOS!$F$6</f>
        <v>0</v>
      </c>
      <c r="Q56" s="20">
        <f>CUSTOS!$F$7</f>
        <v>0</v>
      </c>
      <c r="R56" s="20">
        <f>CUSTOS!$F$8</f>
        <v>0</v>
      </c>
      <c r="S56" s="20">
        <f>CUSTOS!$F$9</f>
        <v>0</v>
      </c>
      <c r="T56" s="20">
        <f>CUSTOS!$F$10</f>
        <v>0</v>
      </c>
      <c r="U56" s="20">
        <f>CUSTOS!$F$11</f>
        <v>0</v>
      </c>
      <c r="V56" s="20">
        <f>CUSTOS!$F$12</f>
        <v>0</v>
      </c>
      <c r="W56" s="20">
        <f>CUSTOS!$F$13</f>
        <v>0</v>
      </c>
      <c r="X56" s="20">
        <f>CUSTOS!$F$14</f>
        <v>0</v>
      </c>
      <c r="Y56" s="20">
        <f>CUSTOS!$F$15</f>
        <v>0</v>
      </c>
      <c r="Z56" s="20">
        <f>CUSTOS!$F$16</f>
        <v>0</v>
      </c>
      <c r="AA56" s="20">
        <f>CUSTOS!$F$17</f>
        <v>0</v>
      </c>
      <c r="AB56" s="20">
        <f>CUSTOS!$F$18</f>
        <v>0</v>
      </c>
      <c r="AC56" s="20">
        <f>CUSTOS!$F$19</f>
        <v>0</v>
      </c>
      <c r="AD56" s="20">
        <f>CUSTOS!$F$20</f>
        <v>0</v>
      </c>
      <c r="AE56" s="20">
        <f>CUSTOS!$F$21</f>
        <v>0</v>
      </c>
      <c r="AF56" s="20">
        <f>CUSTOS!$F$22</f>
        <v>0</v>
      </c>
      <c r="AG56" s="20">
        <f>CUSTOS!$F$23</f>
        <v>0</v>
      </c>
      <c r="AH56" s="20">
        <f>CUSTOS!$F$24</f>
        <v>0</v>
      </c>
      <c r="AI56" s="20">
        <f>CUSTOS!$F$25</f>
        <v>0</v>
      </c>
      <c r="AJ56" s="20">
        <f>CUSTOS!$F$26</f>
        <v>0</v>
      </c>
      <c r="AK56" s="20">
        <f>CUSTOS!$F$27</f>
        <v>0</v>
      </c>
      <c r="AL56" s="20">
        <f>CUSTOS!$F$28</f>
        <v>0</v>
      </c>
      <c r="AM56" s="20">
        <f>CUSTOS!$F$29</f>
        <v>0</v>
      </c>
    </row>
    <row r="57" spans="1:42" ht="11.25" customHeight="1" x14ac:dyDescent="0.3">
      <c r="K57" s="24" t="s">
        <v>453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f>SUM($L$57:$S$57)</f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f>SUM($U$57:$AA$57)</f>
        <v>0</v>
      </c>
      <c r="AC57" s="20">
        <v>0</v>
      </c>
      <c r="AD57" s="20">
        <f>SUM($AC$57:$AC$57)</f>
        <v>0</v>
      </c>
      <c r="AE57" s="20">
        <v>0</v>
      </c>
      <c r="AF57" s="20">
        <v>0</v>
      </c>
      <c r="AG57" s="20">
        <f>SUM($AE$57:$AF$57)</f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f>SUM($AH$57:$AK$57)</f>
        <v>0</v>
      </c>
      <c r="AM57" s="20">
        <f>SUMIF($L$4:$AL$4,"SUBTOTAL",$L$57:$AL$57)</f>
        <v>0</v>
      </c>
    </row>
    <row r="58" spans="1:42" ht="11.25" customHeight="1" x14ac:dyDescent="0.3">
      <c r="K58" s="24" t="s">
        <v>457</v>
      </c>
      <c r="L58" s="20">
        <f t="shared" ref="L58:R58" si="0">IF((L53-(0))&lt;&gt;0,(L55)/(L53-(0)),0)</f>
        <v>0</v>
      </c>
      <c r="M58" s="20">
        <f t="shared" si="0"/>
        <v>-6.2191135951011084E-2</v>
      </c>
      <c r="N58" s="20">
        <f t="shared" ca="1" si="0"/>
        <v>0</v>
      </c>
      <c r="O58" s="20">
        <f t="shared" si="0"/>
        <v>0</v>
      </c>
      <c r="P58" s="20">
        <f t="shared" si="0"/>
        <v>0</v>
      </c>
      <c r="Q58" s="20">
        <f t="shared" si="0"/>
        <v>-8.6712162690527061E-2</v>
      </c>
      <c r="R58" s="20">
        <f t="shared" si="0"/>
        <v>-4.4849656951340279E-2</v>
      </c>
      <c r="S58" s="20">
        <f>IF((R53-(0)&lt;&gt;0),(S55)/(R53-(0)),0)</f>
        <v>0</v>
      </c>
      <c r="T58" s="20"/>
      <c r="U58" s="20">
        <f t="shared" ref="U58:AA58" si="1">IF((U53-(0))&lt;&gt;0,(U55)/(U53-(0)),0)</f>
        <v>0</v>
      </c>
      <c r="V58" s="20">
        <f t="shared" si="1"/>
        <v>0</v>
      </c>
      <c r="W58" s="20">
        <f t="shared" si="1"/>
        <v>0</v>
      </c>
      <c r="X58" s="20">
        <f t="shared" si="1"/>
        <v>0</v>
      </c>
      <c r="Y58" s="20">
        <f t="shared" si="1"/>
        <v>0.31210557376674442</v>
      </c>
      <c r="Z58" s="20">
        <f t="shared" si="1"/>
        <v>0</v>
      </c>
      <c r="AA58" s="20">
        <f t="shared" si="1"/>
        <v>0</v>
      </c>
      <c r="AB58" s="20"/>
      <c r="AC58" s="20">
        <f>IF((AC53-(0))&lt;&gt;0,(AC55)/(AC53-(0)),0)</f>
        <v>-3.2780871928526481E-2</v>
      </c>
      <c r="AD58" s="20"/>
      <c r="AE58" s="20">
        <f ca="1">IF(($AM53-(0))&lt;&gt;0,(AE55)/($AM53-(0)),0)</f>
        <v>0</v>
      </c>
      <c r="AF58" s="20">
        <f ca="1">IF(($AM53-(0))&lt;&gt;0,(AF55)/($AM53-(0)),0)</f>
        <v>0</v>
      </c>
      <c r="AG58" s="20"/>
      <c r="AH58" s="20">
        <f>IF((AH53-(0))&lt;&gt;0,(AH55)/(AH53-(0)),0)</f>
        <v>0.23756762784161062</v>
      </c>
      <c r="AI58" s="20">
        <f>IF((AI53-(0))&lt;&gt;0,(AI55)/(AI53-(0)),0)</f>
        <v>0</v>
      </c>
      <c r="AJ58" s="20">
        <f ca="1">IF((AJ53-(0))&lt;&gt;0,(AJ55)/(AJ53-(0)),0)</f>
        <v>0.23756762784161059</v>
      </c>
      <c r="AK58" s="20">
        <f ca="1">IF((AK53-(0))&lt;&gt;0,(AK55)/(AK53-(0)),0)</f>
        <v>0</v>
      </c>
      <c r="AL58" s="20"/>
      <c r="AM58" s="20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97" priority="55" operator="notEqual">
      <formula>$L$54-$L$57</formula>
    </cfRule>
    <cfRule type="cellIs" dxfId="796" priority="56" operator="equal">
      <formula>$L$54-$L$57</formula>
    </cfRule>
  </conditionalFormatting>
  <conditionalFormatting sqref="M53">
    <cfRule type="cellIs" dxfId="795" priority="53" operator="notEqual">
      <formula>$M$54-$M$57</formula>
    </cfRule>
    <cfRule type="cellIs" dxfId="794" priority="54" operator="equal">
      <formula>$M$54-$M$57</formula>
    </cfRule>
  </conditionalFormatting>
  <conditionalFormatting sqref="N53">
    <cfRule type="cellIs" dxfId="793" priority="51" operator="notEqual">
      <formula>$N$54-$N$57</formula>
    </cfRule>
    <cfRule type="cellIs" dxfId="792" priority="52" operator="equal">
      <formula>$N$54-$N$57</formula>
    </cfRule>
  </conditionalFormatting>
  <conditionalFormatting sqref="O53">
    <cfRule type="cellIs" dxfId="791" priority="49" operator="notEqual">
      <formula>$O$54-$O$57</formula>
    </cfRule>
    <cfRule type="cellIs" dxfId="790" priority="50" operator="equal">
      <formula>$O$54-$O$57</formula>
    </cfRule>
  </conditionalFormatting>
  <conditionalFormatting sqref="P53">
    <cfRule type="cellIs" dxfId="789" priority="47" operator="notEqual">
      <formula>$P$54-$P$57</formula>
    </cfRule>
    <cfRule type="cellIs" dxfId="788" priority="48" operator="equal">
      <formula>$P$54-$P$57</formula>
    </cfRule>
  </conditionalFormatting>
  <conditionalFormatting sqref="Q53">
    <cfRule type="cellIs" dxfId="787" priority="45" operator="notEqual">
      <formula>$Q$54-$Q$57</formula>
    </cfRule>
    <cfRule type="cellIs" dxfId="786" priority="46" operator="equal">
      <formula>$Q$54-$Q$57</formula>
    </cfRule>
  </conditionalFormatting>
  <conditionalFormatting sqref="R53">
    <cfRule type="cellIs" dxfId="785" priority="43" operator="notEqual">
      <formula>$R$54-$R$57</formula>
    </cfRule>
    <cfRule type="cellIs" dxfId="784" priority="44" operator="equal">
      <formula>$R$54-$R$57</formula>
    </cfRule>
  </conditionalFormatting>
  <conditionalFormatting sqref="S53">
    <cfRule type="cellIs" dxfId="783" priority="41" operator="notEqual">
      <formula>$S$54-$S$57</formula>
    </cfRule>
    <cfRule type="cellIs" dxfId="782" priority="42" operator="equal">
      <formula>$S$54-$S$57</formula>
    </cfRule>
  </conditionalFormatting>
  <conditionalFormatting sqref="T53">
    <cfRule type="cellIs" dxfId="781" priority="39" operator="notEqual">
      <formula>$T$54-$T$57</formula>
    </cfRule>
    <cfRule type="cellIs" dxfId="780" priority="40" operator="equal">
      <formula>$T$54-$T$57</formula>
    </cfRule>
  </conditionalFormatting>
  <conditionalFormatting sqref="U53">
    <cfRule type="cellIs" dxfId="779" priority="37" operator="notEqual">
      <formula>$U$54-$U$57</formula>
    </cfRule>
    <cfRule type="cellIs" dxfId="778" priority="38" operator="equal">
      <formula>$U$54-$U$57</formula>
    </cfRule>
  </conditionalFormatting>
  <conditionalFormatting sqref="V53">
    <cfRule type="cellIs" dxfId="777" priority="35" operator="notEqual">
      <formula>$V$54-$V$57</formula>
    </cfRule>
    <cfRule type="cellIs" dxfId="776" priority="36" operator="equal">
      <formula>$V$54-$V$57</formula>
    </cfRule>
  </conditionalFormatting>
  <conditionalFormatting sqref="W53">
    <cfRule type="cellIs" dxfId="775" priority="33" operator="notEqual">
      <formula>$W$54-$W$57</formula>
    </cfRule>
    <cfRule type="cellIs" dxfId="774" priority="34" operator="equal">
      <formula>$W$54-$W$57</formula>
    </cfRule>
  </conditionalFormatting>
  <conditionalFormatting sqref="X53">
    <cfRule type="cellIs" dxfId="773" priority="31" operator="notEqual">
      <formula>$X$54-$X$57</formula>
    </cfRule>
    <cfRule type="cellIs" dxfId="772" priority="32" operator="equal">
      <formula>$X$54-$X$57</formula>
    </cfRule>
  </conditionalFormatting>
  <conditionalFormatting sqref="Y53">
    <cfRule type="cellIs" dxfId="771" priority="29" operator="notEqual">
      <formula>$Y$54-$Y$57</formula>
    </cfRule>
    <cfRule type="cellIs" dxfId="770" priority="30" operator="equal">
      <formula>$Y$54-$Y$57</formula>
    </cfRule>
  </conditionalFormatting>
  <conditionalFormatting sqref="Z53">
    <cfRule type="cellIs" dxfId="769" priority="27" operator="notEqual">
      <formula>$Z$54-$Z$57</formula>
    </cfRule>
    <cfRule type="cellIs" dxfId="768" priority="28" operator="equal">
      <formula>$Z$54-$Z$57</formula>
    </cfRule>
  </conditionalFormatting>
  <conditionalFormatting sqref="AA53">
    <cfRule type="cellIs" dxfId="767" priority="25" operator="notEqual">
      <formula>$AA$54-$AA$57</formula>
    </cfRule>
    <cfRule type="cellIs" dxfId="766" priority="26" operator="equal">
      <formula>$AA$54-$AA$57</formula>
    </cfRule>
  </conditionalFormatting>
  <conditionalFormatting sqref="AB53">
    <cfRule type="cellIs" dxfId="765" priority="23" operator="notEqual">
      <formula>$AB$54-$AB$57</formula>
    </cfRule>
    <cfRule type="cellIs" dxfId="764" priority="24" operator="equal">
      <formula>$AB$54-$AB$57</formula>
    </cfRule>
  </conditionalFormatting>
  <conditionalFormatting sqref="AC53">
    <cfRule type="cellIs" dxfId="763" priority="21" operator="notEqual">
      <formula>$AC$54-$AC$57</formula>
    </cfRule>
    <cfRule type="cellIs" dxfId="762" priority="22" operator="equal">
      <formula>$AC$54-$AC$57</formula>
    </cfRule>
  </conditionalFormatting>
  <conditionalFormatting sqref="AD53">
    <cfRule type="cellIs" dxfId="761" priority="19" operator="notEqual">
      <formula>$AD$54-$AD$57</formula>
    </cfRule>
    <cfRule type="cellIs" dxfId="760" priority="20" operator="equal">
      <formula>$AD$54-$AD$57</formula>
    </cfRule>
  </conditionalFormatting>
  <conditionalFormatting sqref="AE53">
    <cfRule type="cellIs" dxfId="759" priority="17" operator="notEqual">
      <formula>$AE$54-$AE$57</formula>
    </cfRule>
    <cfRule type="cellIs" dxfId="758" priority="18" operator="equal">
      <formula>$AE$54-$AE$57</formula>
    </cfRule>
  </conditionalFormatting>
  <conditionalFormatting sqref="AF53">
    <cfRule type="cellIs" dxfId="757" priority="16" operator="equal">
      <formula>$AF$54-$AF$57</formula>
    </cfRule>
  </conditionalFormatting>
  <conditionalFormatting sqref="AF53">
    <cfRule type="cellIs" dxfId="756" priority="15" operator="notEqual">
      <formula>$AF$54-$AF$57</formula>
    </cfRule>
  </conditionalFormatting>
  <conditionalFormatting sqref="AG53">
    <cfRule type="cellIs" dxfId="755" priority="14" operator="equal">
      <formula>$AG$54-$AG$57</formula>
    </cfRule>
  </conditionalFormatting>
  <conditionalFormatting sqref="AG53">
    <cfRule type="cellIs" dxfId="754" priority="13" operator="notEqual">
      <formula>$AG$54-$AG$57</formula>
    </cfRule>
  </conditionalFormatting>
  <conditionalFormatting sqref="AH53">
    <cfRule type="cellIs" dxfId="753" priority="12" operator="equal">
      <formula>$AH$54-$AH$57</formula>
    </cfRule>
  </conditionalFormatting>
  <conditionalFormatting sqref="AH53">
    <cfRule type="cellIs" dxfId="752" priority="11" operator="notEqual">
      <formula>$AH$54-$AH$57</formula>
    </cfRule>
  </conditionalFormatting>
  <conditionalFormatting sqref="AI53">
    <cfRule type="cellIs" dxfId="751" priority="10" operator="equal">
      <formula>$AI$54-$AI$57</formula>
    </cfRule>
  </conditionalFormatting>
  <conditionalFormatting sqref="AI53">
    <cfRule type="cellIs" dxfId="750" priority="9" operator="notEqual">
      <formula>$AI$54-$AI$57</formula>
    </cfRule>
  </conditionalFormatting>
  <conditionalFormatting sqref="AJ53">
    <cfRule type="cellIs" dxfId="749" priority="8" operator="equal">
      <formula>$AJ$54-$AJ$57</formula>
    </cfRule>
  </conditionalFormatting>
  <conditionalFormatting sqref="AJ53">
    <cfRule type="cellIs" dxfId="748" priority="7" operator="notEqual">
      <formula>$AJ$54-$AJ$57</formula>
    </cfRule>
  </conditionalFormatting>
  <conditionalFormatting sqref="AK53">
    <cfRule type="cellIs" dxfId="747" priority="6" operator="equal">
      <formula>$AK$54-$AK$57</formula>
    </cfRule>
  </conditionalFormatting>
  <conditionalFormatting sqref="AK53">
    <cfRule type="cellIs" dxfId="746" priority="5" operator="notEqual">
      <formula>$AK$54-$AK$57</formula>
    </cfRule>
  </conditionalFormatting>
  <conditionalFormatting sqref="AL53">
    <cfRule type="cellIs" dxfId="745" priority="4" operator="equal">
      <formula>$AL$54-$AL$57</formula>
    </cfRule>
  </conditionalFormatting>
  <conditionalFormatting sqref="AL53">
    <cfRule type="cellIs" dxfId="744" priority="3" operator="notEqual">
      <formula>$AL$54-$AL$57</formula>
    </cfRule>
  </conditionalFormatting>
  <conditionalFormatting sqref="AM53">
    <cfRule type="cellIs" dxfId="743" priority="2" operator="equal">
      <formula>$AM$54-$AM$57</formula>
    </cfRule>
  </conditionalFormatting>
  <conditionalFormatting sqref="AM53">
    <cfRule type="cellIs" dxfId="742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78A9-F46B-41DA-AC52-6A6286D377F5}">
  <dimension ref="A1:AP58"/>
  <sheetViews>
    <sheetView showGridLines="0" topLeftCell="AB38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464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O1" s="30"/>
      <c r="AP1" s="126" t="s">
        <v>449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O2" s="30"/>
      <c r="AP2" s="127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/>
      <c r="U3" s="122" t="s">
        <v>357</v>
      </c>
      <c r="V3" s="122"/>
      <c r="W3" s="122"/>
      <c r="X3" s="122"/>
      <c r="Y3" s="122"/>
      <c r="Z3" s="122"/>
      <c r="AA3" s="122"/>
      <c r="AB3" s="122"/>
      <c r="AC3" s="122" t="s">
        <v>365</v>
      </c>
      <c r="AD3" s="122"/>
      <c r="AE3" s="122" t="s">
        <v>367</v>
      </c>
      <c r="AF3" s="122"/>
      <c r="AG3" s="122"/>
      <c r="AH3" s="122" t="s">
        <v>370</v>
      </c>
      <c r="AI3" s="122"/>
      <c r="AJ3" s="122"/>
      <c r="AK3" s="122"/>
      <c r="AL3" s="122"/>
      <c r="AM3" s="122" t="s">
        <v>356</v>
      </c>
      <c r="AO3" s="30"/>
      <c r="AP3" s="127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26" t="s">
        <v>432</v>
      </c>
      <c r="M4" s="26" t="s">
        <v>349</v>
      </c>
      <c r="N4" s="26" t="s">
        <v>350</v>
      </c>
      <c r="O4" s="26" t="s">
        <v>351</v>
      </c>
      <c r="P4" s="26" t="s">
        <v>352</v>
      </c>
      <c r="Q4" s="26" t="s">
        <v>353</v>
      </c>
      <c r="R4" s="26" t="s">
        <v>354</v>
      </c>
      <c r="S4" s="26" t="s">
        <v>355</v>
      </c>
      <c r="T4" s="26" t="s">
        <v>356</v>
      </c>
      <c r="U4" s="26" t="s">
        <v>358</v>
      </c>
      <c r="V4" s="26" t="s">
        <v>359</v>
      </c>
      <c r="W4" s="26" t="s">
        <v>360</v>
      </c>
      <c r="X4" s="26" t="s">
        <v>361</v>
      </c>
      <c r="Y4" s="26" t="s">
        <v>362</v>
      </c>
      <c r="Z4" s="26" t="s">
        <v>363</v>
      </c>
      <c r="AA4" s="26" t="s">
        <v>364</v>
      </c>
      <c r="AB4" s="26" t="s">
        <v>356</v>
      </c>
      <c r="AC4" s="26" t="s">
        <v>366</v>
      </c>
      <c r="AD4" s="26" t="s">
        <v>356</v>
      </c>
      <c r="AE4" s="26" t="s">
        <v>368</v>
      </c>
      <c r="AF4" s="26" t="s">
        <v>369</v>
      </c>
      <c r="AG4" s="26" t="s">
        <v>356</v>
      </c>
      <c r="AH4" s="26" t="s">
        <v>371</v>
      </c>
      <c r="AI4" s="26" t="s">
        <v>372</v>
      </c>
      <c r="AJ4" s="26" t="s">
        <v>373</v>
      </c>
      <c r="AK4" s="26" t="s">
        <v>374</v>
      </c>
      <c r="AL4" s="26" t="s">
        <v>356</v>
      </c>
      <c r="AM4" s="124"/>
      <c r="AO4" s="31" t="s">
        <v>466</v>
      </c>
      <c r="AP4" s="128"/>
    </row>
    <row r="5" spans="1:42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25">
        <f>'TUSD BE'!$L$5*'TUSD BE'!$L$58</f>
        <v>0</v>
      </c>
      <c r="M5" s="25">
        <f>'TUSD BE'!$M$5*'TUSD BE'!$M$58</f>
        <v>0</v>
      </c>
      <c r="N5" s="25">
        <f ca="1">'TUSD BE'!$N$5*'TUSD BE'!$N$58</f>
        <v>0</v>
      </c>
      <c r="O5" s="25">
        <f>'TUSD BE'!$O$5*'TUSD BE'!$O$58</f>
        <v>0</v>
      </c>
      <c r="P5" s="25">
        <f>'TUSD BE'!$P$5*'TUSD BE'!$P$58</f>
        <v>0</v>
      </c>
      <c r="Q5" s="25">
        <f>'TUSD BE'!$Q$5*'TUSD BE'!$Q$58</f>
        <v>0</v>
      </c>
      <c r="R5" s="25">
        <f>'TUSD BE'!$R$5*'TUSD BE'!$R$58</f>
        <v>0</v>
      </c>
      <c r="S5" s="25">
        <f>'TUSD BE'!$R$5*'TUSD BE'!$S$58</f>
        <v>0</v>
      </c>
      <c r="T5" s="25">
        <f ca="1">SUM($L$5:$S$5)</f>
        <v>0</v>
      </c>
      <c r="U5" s="25">
        <f>'TUSD BE'!$U$5*'TUSD BE'!$U$58</f>
        <v>0</v>
      </c>
      <c r="V5" s="25">
        <f>'TUSD BE'!$V$5*'TUSD BE'!$V$58</f>
        <v>0</v>
      </c>
      <c r="W5" s="25">
        <f>'TUSD BE'!$W$5*'TUSD BE'!$W$58</f>
        <v>0</v>
      </c>
      <c r="X5" s="25">
        <f>'TUSD BE'!$X$5*'TUSD BE'!$X$58</f>
        <v>0</v>
      </c>
      <c r="Y5" s="25">
        <f>'TUSD BE'!$Y$5*'TUSD BE'!$Y$58</f>
        <v>21.036266314427898</v>
      </c>
      <c r="Z5" s="25">
        <f>'TUSD BE'!$Z$5*'TUSD BE'!$Z$58</f>
        <v>0</v>
      </c>
      <c r="AA5" s="25">
        <f>'TUSD BE'!$AA$5*'TUSD BE'!$AA$58</f>
        <v>0</v>
      </c>
      <c r="AB5" s="25">
        <f>SUM($U$5:$AA$5)</f>
        <v>21.036266314427898</v>
      </c>
      <c r="AC5" s="25">
        <f>'TUSD BE'!$AC$5*'TUSD BE'!$AC$58</f>
        <v>-3.6501976153478282</v>
      </c>
      <c r="AD5" s="25">
        <f>SUM($AC$5:$AC$5)</f>
        <v>-3.6501976153478282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BE'!$AH$58</f>
        <v>0</v>
      </c>
      <c r="AI5" s="25">
        <f>'TUSD BE'!$AI$5*'TUSD BE'!$AI$58</f>
        <v>0</v>
      </c>
      <c r="AJ5" s="25">
        <f ca="1">'TUSD BE'!$AJ$5*'TUSD BE'!$AJ$58</f>
        <v>0</v>
      </c>
      <c r="AK5" s="25">
        <f ca="1">'TUSD BE'!$AK$5*'TUSD BE'!$AK$58</f>
        <v>0</v>
      </c>
      <c r="AL5" s="25">
        <f ca="1">SUM($AH$5:$AK$5)</f>
        <v>0</v>
      </c>
      <c r="AM5" s="25">
        <f ca="1">SUMIF($L$4:$AL$4,"SUBTOTAL",$L$5:$AL$5)</f>
        <v>17.38606869908007</v>
      </c>
      <c r="AO5" s="30">
        <f ca="1">+'TUSD BE'!$T$5+'TUSD BE'!$AB$5+'TUSD BE'!$AD$5+'TUSD BE'!$AL$5</f>
        <v>178.75257328631628</v>
      </c>
      <c r="AP5" s="30">
        <f ca="1">+'TUSD BE'!$T$5+'TUSD BE'!$AB$5+'TUSD BE'!$AD$5+'TUSD BE'!$AL$5</f>
        <v>178.75257328631628</v>
      </c>
    </row>
    <row r="6" spans="1:42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25">
        <f>'TUSD BE'!$L$6*'TUSD BE'!$L$58</f>
        <v>0</v>
      </c>
      <c r="M6" s="25">
        <f>'TUSD BE'!$M$6*'TUSD BE'!$M$58</f>
        <v>0</v>
      </c>
      <c r="N6" s="25">
        <f ca="1">'TUSD BE'!$N$6*'TUSD BE'!$N$58</f>
        <v>0</v>
      </c>
      <c r="O6" s="25">
        <f>'TUSD BE'!$O$6*'TUSD BE'!$O$58</f>
        <v>0</v>
      </c>
      <c r="P6" s="25">
        <f>'TUSD BE'!$P$6*'TUSD BE'!$P$58</f>
        <v>0</v>
      </c>
      <c r="Q6" s="25">
        <f>'TUSD BE'!$Q$6*'TUSD BE'!$Q$58</f>
        <v>0</v>
      </c>
      <c r="R6" s="25">
        <f>'TUSD BE'!$R$6*'TUSD BE'!$R$58</f>
        <v>0</v>
      </c>
      <c r="S6" s="25">
        <f>'TUSD BE'!$R$6*'TUSD BE'!$S$58</f>
        <v>0</v>
      </c>
      <c r="T6" s="25">
        <f ca="1">SUM($L$6:$S$6)</f>
        <v>0</v>
      </c>
      <c r="U6" s="25">
        <f>'TUSD BE'!$U$6*'TUSD BE'!$U$58</f>
        <v>0</v>
      </c>
      <c r="V6" s="25">
        <f>'TUSD BE'!$V$6*'TUSD BE'!$V$58</f>
        <v>0</v>
      </c>
      <c r="W6" s="25">
        <f>'TUSD BE'!$W$6*'TUSD BE'!$W$58</f>
        <v>0</v>
      </c>
      <c r="X6" s="25">
        <f>'TUSD BE'!$X$6*'TUSD BE'!$X$58</f>
        <v>0</v>
      </c>
      <c r="Y6" s="25">
        <f>'TUSD BE'!$Y$6*'TUSD BE'!$Y$58</f>
        <v>6.963190419187014</v>
      </c>
      <c r="Z6" s="25">
        <f>'TUSD BE'!$Z$6*'TUSD BE'!$Z$58</f>
        <v>0</v>
      </c>
      <c r="AA6" s="25">
        <f>'TUSD BE'!$AA$6*'TUSD BE'!$AA$58</f>
        <v>0</v>
      </c>
      <c r="AB6" s="25">
        <f>SUM($U$6:$AA$6)</f>
        <v>6.963190419187014</v>
      </c>
      <c r="AC6" s="25">
        <f>'TUSD BE'!$AC$6*'TUSD BE'!$AC$58</f>
        <v>-1.3415335357911353</v>
      </c>
      <c r="AD6" s="25">
        <f>SUM($AC$6:$AC$6)</f>
        <v>-1.3415335357911353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BE'!$AH$58</f>
        <v>0</v>
      </c>
      <c r="AI6" s="25">
        <f>'TUSD BE'!$AI$6*'TUSD BE'!$AI$58</f>
        <v>0</v>
      </c>
      <c r="AJ6" s="25">
        <f ca="1">'TUSD BE'!$AJ$6*'TUSD BE'!$AJ$58</f>
        <v>0</v>
      </c>
      <c r="AK6" s="25">
        <f ca="1">'TUSD BE'!$AK$6*'TUSD BE'!$AK$58</f>
        <v>0</v>
      </c>
      <c r="AL6" s="25">
        <f ca="1">SUM($AH$6:$AK$6)</f>
        <v>0</v>
      </c>
      <c r="AM6" s="25">
        <f ca="1">SUMIF($L$4:$AL$4,"SUBTOTAL",$L$6:$AL$6)</f>
        <v>5.6216568833958789</v>
      </c>
      <c r="AO6" s="30">
        <f ca="1">+'TUSD BE'!$T$6+'TUSD BE'!$AB$6+'TUSD BE'!$AD$6+'TUSD BE'!$AL$6</f>
        <v>63.234647291619041</v>
      </c>
      <c r="AP6" s="30">
        <f ca="1">+'TUSD BE'!$T$6+'TUSD BE'!$AB$6+'TUSD BE'!$AD$6+'TUSD BE'!$AL$6</f>
        <v>63.234647291619041</v>
      </c>
    </row>
    <row r="7" spans="1:42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25">
        <f>'TUSD BE'!$L$7*'TUSD BE'!$L$58</f>
        <v>0</v>
      </c>
      <c r="M7" s="25">
        <f>'TUSD BE'!$M$7*'TUSD BE'!$M$58</f>
        <v>-0.11788341709039178</v>
      </c>
      <c r="N7" s="25">
        <f ca="1">'TUSD BE'!$N$7*'TUSD BE'!$N$58</f>
        <v>0</v>
      </c>
      <c r="O7" s="25">
        <f>'TUSD BE'!$O$7*'TUSD BE'!$O$58</f>
        <v>0</v>
      </c>
      <c r="P7" s="25">
        <f>'TUSD BE'!$P$7*'TUSD BE'!$P$58</f>
        <v>0</v>
      </c>
      <c r="Q7" s="25">
        <f>'TUSD BE'!$Q$7*'TUSD BE'!$Q$58</f>
        <v>-6.3012229670364253</v>
      </c>
      <c r="R7" s="25">
        <f>'TUSD BE'!$R$7*'TUSD BE'!$R$58</f>
        <v>-0.64377302564927097</v>
      </c>
      <c r="S7" s="25">
        <f>'TUSD BE'!$R$7*'TUSD BE'!$S$58</f>
        <v>0</v>
      </c>
      <c r="T7" s="25">
        <f ca="1">SUM($L$7:$S$7)</f>
        <v>-7.0628794097760874</v>
      </c>
      <c r="U7" s="25">
        <f>'TUSD BE'!$U$7*'TUSD BE'!$U$58</f>
        <v>0</v>
      </c>
      <c r="V7" s="25">
        <f>'TUSD BE'!$V$7*'TUSD BE'!$V$58</f>
        <v>0</v>
      </c>
      <c r="W7" s="25">
        <f>'TUSD BE'!$W$7*'TUSD BE'!$W$58</f>
        <v>0</v>
      </c>
      <c r="X7" s="25">
        <f>'TUSD BE'!$X$7*'TUSD BE'!$X$58</f>
        <v>0</v>
      </c>
      <c r="Y7" s="25">
        <f>'TUSD BE'!$Y$7*'TUSD BE'!$Y$58</f>
        <v>0</v>
      </c>
      <c r="Z7" s="25">
        <f>'TUSD BE'!$Z$7*'TUSD BE'!$Z$58</f>
        <v>0</v>
      </c>
      <c r="AA7" s="25">
        <f>'TUSD BE'!$AA$7*'TUSD BE'!$AA$58</f>
        <v>0</v>
      </c>
      <c r="AB7" s="25">
        <f>SUM($U$7:$AA$7)</f>
        <v>0</v>
      </c>
      <c r="AC7" s="25">
        <f>'TUSD BE'!$AC$7*'TUSD BE'!$AC$58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BE'!$AH$58</f>
        <v>2.0050748392379996</v>
      </c>
      <c r="AI7" s="25">
        <f>'TUSD BE'!$AI$7*'TUSD BE'!$AI$58</f>
        <v>0</v>
      </c>
      <c r="AJ7" s="25">
        <f ca="1">'TUSD BE'!$AJ$7*'TUSD BE'!$AJ$58</f>
        <v>0.4561200300405065</v>
      </c>
      <c r="AK7" s="25">
        <f ca="1">'TUSD BE'!$AK$7*'TUSD BE'!$AK$58</f>
        <v>0</v>
      </c>
      <c r="AL7" s="25">
        <f ca="1">SUM($AH$7:$AK$7)</f>
        <v>2.4611948692785059</v>
      </c>
      <c r="AM7" s="25">
        <f ca="1">SUMIF($L$4:$AL$4,"SUBTOTAL",$L$7:$AL$7)</f>
        <v>-4.6016845404975815</v>
      </c>
      <c r="AO7" s="30">
        <f ca="1">+'TUSD BE'!$T$7+'TUSD BE'!$AB$7+'TUSD BE'!$AD$7+'TUSD BE'!$AL$7</f>
        <v>140.18485435796848</v>
      </c>
      <c r="AP7" s="30">
        <f ca="1">+'TUSD BE'!$T$7+'TUSD BE'!$AB$7+'TUSD BE'!$AD$7+'TUSD BE'!$AL$7</f>
        <v>140.18485435796848</v>
      </c>
    </row>
    <row r="8" spans="1:42" ht="11.25" customHeight="1" x14ac:dyDescent="0.3">
      <c r="A8" s="125"/>
      <c r="B8" s="125"/>
      <c r="C8" s="125"/>
      <c r="D8" s="125"/>
      <c r="E8" s="28" t="s">
        <v>75</v>
      </c>
      <c r="F8" s="28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25">
        <f>'TUSD BE'!$L$8*'TUSD BE'!$L$58</f>
        <v>0</v>
      </c>
      <c r="M8" s="25">
        <f>'TUSD BE'!$M$8*'TUSD BE'!$M$58</f>
        <v>-0.11788341709039178</v>
      </c>
      <c r="N8" s="25">
        <f ca="1">'TUSD BE'!$N$8*'TUSD BE'!$N$58</f>
        <v>0</v>
      </c>
      <c r="O8" s="25">
        <f>'TUSD BE'!$O$8*'TUSD BE'!$O$58</f>
        <v>0</v>
      </c>
      <c r="P8" s="25">
        <f>'TUSD BE'!$P$8*'TUSD BE'!$P$58</f>
        <v>0</v>
      </c>
      <c r="Q8" s="25">
        <f>'TUSD BE'!$Q$8*'TUSD BE'!$Q$58</f>
        <v>0</v>
      </c>
      <c r="R8" s="25">
        <f>'TUSD BE'!$R$8*'TUSD BE'!$R$58</f>
        <v>0</v>
      </c>
      <c r="S8" s="25">
        <f>'TUSD BE'!$R$8*'TUSD BE'!$S$58</f>
        <v>0</v>
      </c>
      <c r="T8" s="25">
        <f ca="1">SUM($L$8:$S$8)</f>
        <v>-0.11788341709039178</v>
      </c>
      <c r="U8" s="25">
        <f>'TUSD BE'!$U$8*'TUSD BE'!$U$58</f>
        <v>0</v>
      </c>
      <c r="V8" s="25">
        <f>'TUSD BE'!$V$8*'TUSD BE'!$V$58</f>
        <v>0</v>
      </c>
      <c r="W8" s="25">
        <f>'TUSD BE'!$W$8*'TUSD BE'!$W$58</f>
        <v>0</v>
      </c>
      <c r="X8" s="25">
        <f>'TUSD BE'!$X$8*'TUSD BE'!$X$58</f>
        <v>0</v>
      </c>
      <c r="Y8" s="25">
        <f>'TUSD BE'!$Y$8*'TUSD BE'!$Y$58</f>
        <v>0</v>
      </c>
      <c r="Z8" s="25">
        <f>'TUSD BE'!$Z$8*'TUSD BE'!$Z$58</f>
        <v>0</v>
      </c>
      <c r="AA8" s="25">
        <f>'TUSD BE'!$AA$8*'TUSD BE'!$AA$58</f>
        <v>0</v>
      </c>
      <c r="AB8" s="25">
        <f>SUM($U$8:$AA$8)</f>
        <v>0</v>
      </c>
      <c r="AC8" s="25">
        <f>'TUSD BE'!$AC$8*'TUSD BE'!$AC$58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BE'!$AH$58</f>
        <v>2.0050748392379996</v>
      </c>
      <c r="AI8" s="25">
        <f>'TUSD BE'!$AI$8*'TUSD BE'!$AI$58</f>
        <v>0</v>
      </c>
      <c r="AJ8" s="25">
        <f ca="1">'TUSD BE'!$AJ$8*'TUSD BE'!$AJ$58</f>
        <v>0.4561200300405065</v>
      </c>
      <c r="AK8" s="25">
        <f ca="1">'TUSD BE'!$AK$8*'TUSD BE'!$AK$58</f>
        <v>0</v>
      </c>
      <c r="AL8" s="25">
        <f ca="1">SUM($AH$8:$AK$8)</f>
        <v>2.4611948692785059</v>
      </c>
      <c r="AM8" s="25">
        <f ca="1">SUMIF($L$4:$AL$4,"SUBTOTAL",$L$8:$AL$8)</f>
        <v>2.343311452188114</v>
      </c>
      <c r="AO8" s="30">
        <f ca="1">+'TUSD BE'!$T$8+'TUSD BE'!$AB$8+'TUSD BE'!$AD$8+'TUSD BE'!$AL$8</f>
        <v>12.255477686414713</v>
      </c>
      <c r="AP8" s="30">
        <f ca="1">+'TUSD BE'!$T$8+'TUSD BE'!$AB$8+'TUSD BE'!$AD$8+'TUSD BE'!$AL$8</f>
        <v>12.255477686414713</v>
      </c>
    </row>
    <row r="9" spans="1:42" ht="11.25" customHeight="1" x14ac:dyDescent="0.3">
      <c r="A9" s="125"/>
      <c r="B9" s="28" t="s">
        <v>76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25">
        <f>'TUSD BE'!$L$9*'TUSD BE'!$L$58</f>
        <v>0</v>
      </c>
      <c r="M9" s="25">
        <f>'TUSD BE'!$M$9*'TUSD BE'!$M$58</f>
        <v>0</v>
      </c>
      <c r="N9" s="25">
        <f ca="1">'TUSD BE'!$N$9*'TUSD BE'!$N$58</f>
        <v>0</v>
      </c>
      <c r="O9" s="25">
        <f>'TUSD BE'!$O$9*'TUSD BE'!$O$58</f>
        <v>0</v>
      </c>
      <c r="P9" s="25">
        <f>'TUSD BE'!$P$9*'TUSD BE'!$P$58</f>
        <v>0</v>
      </c>
      <c r="Q9" s="25">
        <f>'TUSD BE'!$Q$9*'TUSD BE'!$Q$58</f>
        <v>0</v>
      </c>
      <c r="R9" s="25">
        <f>'TUSD BE'!$R$9*'TUSD BE'!$R$58</f>
        <v>0</v>
      </c>
      <c r="S9" s="25">
        <f>'TUSD BE'!$R$9*'TUSD BE'!$S$58</f>
        <v>0</v>
      </c>
      <c r="T9" s="25">
        <f ca="1">SUM($L$9:$S$9)</f>
        <v>0</v>
      </c>
      <c r="U9" s="25">
        <f>'TUSD BE'!$U$9*'TUSD BE'!$U$58</f>
        <v>0</v>
      </c>
      <c r="V9" s="25">
        <f>'TUSD BE'!$V$9*'TUSD BE'!$V$58</f>
        <v>0</v>
      </c>
      <c r="W9" s="25">
        <f>'TUSD BE'!$W$9*'TUSD BE'!$W$58</f>
        <v>0</v>
      </c>
      <c r="X9" s="25">
        <f>'TUSD BE'!$X$9*'TUSD BE'!$X$58</f>
        <v>0</v>
      </c>
      <c r="Y9" s="25">
        <f>'TUSD BE'!$Y$9*'TUSD BE'!$Y$58</f>
        <v>0</v>
      </c>
      <c r="Z9" s="25">
        <f>'TUSD BE'!$Z$9*'TUSD BE'!$Z$58</f>
        <v>0</v>
      </c>
      <c r="AA9" s="25">
        <f>'TUSD BE'!$AA$9*'TUSD BE'!$AA$58</f>
        <v>0</v>
      </c>
      <c r="AB9" s="25">
        <f>SUM($U$9:$AA$9)</f>
        <v>0</v>
      </c>
      <c r="AC9" s="25">
        <f>'TUSD BE'!$AC$9*'TUSD BE'!$AC$58</f>
        <v>-0.42178589054778604</v>
      </c>
      <c r="AD9" s="25">
        <f>SUM($AC$9:$AC$9)</f>
        <v>-0.42178589054778604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BE'!$AH$58</f>
        <v>0</v>
      </c>
      <c r="AI9" s="25">
        <f>'TUSD BE'!$AI$9*'TUSD BE'!$AI$58</f>
        <v>0</v>
      </c>
      <c r="AJ9" s="25">
        <f ca="1">'TUSD BE'!$AJ$9*'TUSD BE'!$AJ$58</f>
        <v>0</v>
      </c>
      <c r="AK9" s="25">
        <f ca="1">'TUSD BE'!$AK$9*'TUSD BE'!$AK$58</f>
        <v>0</v>
      </c>
      <c r="AL9" s="25">
        <f ca="1">SUM($AH$9:$AK$9)</f>
        <v>0</v>
      </c>
      <c r="AM9" s="25">
        <f ca="1">SUMIF($L$4:$AL$4,"SUBTOTAL",$L$9:$AL$9)</f>
        <v>-0.42178589054778604</v>
      </c>
      <c r="AO9" s="30">
        <f ca="1">+'TUSD BE'!$T$9+'TUSD BE'!$AB$9+'TUSD BE'!$AD$9+'TUSD BE'!$AL$9</f>
        <v>12.866829517757296</v>
      </c>
      <c r="AP9" s="30">
        <f ca="1">+'TUSD BE'!$T$9+'TUSD BE'!$AB$9+'TUSD BE'!$AD$9+'TUSD BE'!$AL$9</f>
        <v>12.866829517757296</v>
      </c>
    </row>
    <row r="10" spans="1:42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25">
        <f>'TUSD BE'!$L$10*'TUSD BE'!$L$58</f>
        <v>0</v>
      </c>
      <c r="M10" s="25">
        <f>'TUSD BE'!$M$10*'TUSD BE'!$M$58</f>
        <v>0</v>
      </c>
      <c r="N10" s="25">
        <f ca="1">'TUSD BE'!$N$10*'TUSD BE'!$N$58</f>
        <v>0</v>
      </c>
      <c r="O10" s="25">
        <f>'TUSD BE'!$O$10*'TUSD BE'!$O$58</f>
        <v>0</v>
      </c>
      <c r="P10" s="25">
        <f>'TUSD BE'!$P$10*'TUSD BE'!$P$58</f>
        <v>0</v>
      </c>
      <c r="Q10" s="25">
        <f>'TUSD BE'!$Q$10*'TUSD BE'!$Q$58</f>
        <v>0</v>
      </c>
      <c r="R10" s="25">
        <f>'TUSD BE'!$R$10*'TUSD BE'!$R$58</f>
        <v>0</v>
      </c>
      <c r="S10" s="25">
        <f>'TUSD BE'!$R$10*'TUSD BE'!$S$58</f>
        <v>0</v>
      </c>
      <c r="T10" s="25">
        <f ca="1">SUM($L$10:$S$10)</f>
        <v>0</v>
      </c>
      <c r="U10" s="25">
        <f>'TUSD BE'!$U$10*'TUSD BE'!$U$58</f>
        <v>0</v>
      </c>
      <c r="V10" s="25">
        <f>'TUSD BE'!$V$10*'TUSD BE'!$V$58</f>
        <v>0</v>
      </c>
      <c r="W10" s="25">
        <f>'TUSD BE'!$W$10*'TUSD BE'!$W$58</f>
        <v>0</v>
      </c>
      <c r="X10" s="25">
        <f>'TUSD BE'!$X$10*'TUSD BE'!$X$58</f>
        <v>0</v>
      </c>
      <c r="Y10" s="25">
        <f>'TUSD BE'!$Y$10*'TUSD BE'!$Y$58</f>
        <v>6.963190419187014</v>
      </c>
      <c r="Z10" s="25">
        <f>'TUSD BE'!$Z$10*'TUSD BE'!$Z$58</f>
        <v>0</v>
      </c>
      <c r="AA10" s="25">
        <f>'TUSD BE'!$AA$10*'TUSD BE'!$AA$58</f>
        <v>0</v>
      </c>
      <c r="AB10" s="25">
        <f>SUM($U$10:$AA$10)</f>
        <v>6.963190419187014</v>
      </c>
      <c r="AC10" s="25">
        <f>'TUSD BE'!$AC$10*'TUSD BE'!$AC$58</f>
        <v>-1.3415335357911353</v>
      </c>
      <c r="AD10" s="25">
        <f>SUM($AC$10:$AC$10)</f>
        <v>-1.3415335357911353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BE'!$AH$58</f>
        <v>0</v>
      </c>
      <c r="AI10" s="25">
        <f>'TUSD BE'!$AI$10*'TUSD BE'!$AI$58</f>
        <v>0</v>
      </c>
      <c r="AJ10" s="25">
        <f ca="1">'TUSD BE'!$AJ$10*'TUSD BE'!$AJ$58</f>
        <v>0</v>
      </c>
      <c r="AK10" s="25">
        <f ca="1">'TUSD BE'!$AK$10*'TUSD BE'!$AK$58</f>
        <v>0</v>
      </c>
      <c r="AL10" s="25">
        <f ca="1">SUM($AH$10:$AK$10)</f>
        <v>0</v>
      </c>
      <c r="AM10" s="25">
        <f ca="1">SUMIF($L$4:$AL$4,"SUBTOTAL",$L$10:$AL$10)</f>
        <v>5.6216568833958789</v>
      </c>
      <c r="AO10" s="30">
        <f ca="1">+'TUSD BE'!$T$10+'TUSD BE'!$AB$10+'TUSD BE'!$AD$10+'TUSD BE'!$AL$10</f>
        <v>63.234647291619041</v>
      </c>
      <c r="AP10" s="30">
        <f ca="1">+'TUSD BE'!$T$10+'TUSD BE'!$AB$10+'TUSD BE'!$AD$10+'TUSD BE'!$AL$10</f>
        <v>63.234647291619041</v>
      </c>
    </row>
    <row r="11" spans="1:42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25">
        <f>'TUSD BE'!$L$11*'TUSD BE'!$L$58</f>
        <v>0</v>
      </c>
      <c r="M11" s="25">
        <f>'TUSD BE'!$M$11*'TUSD BE'!$M$58</f>
        <v>-0.11788341709039178</v>
      </c>
      <c r="N11" s="25">
        <f ca="1">'TUSD BE'!$N$11*'TUSD BE'!$N$58</f>
        <v>0</v>
      </c>
      <c r="O11" s="25">
        <f>'TUSD BE'!$O$11*'TUSD BE'!$O$58</f>
        <v>0</v>
      </c>
      <c r="P11" s="25">
        <f>'TUSD BE'!$P$11*'TUSD BE'!$P$58</f>
        <v>0</v>
      </c>
      <c r="Q11" s="25">
        <f>'TUSD BE'!$Q$11*'TUSD BE'!$Q$58</f>
        <v>-6.3012229670364253</v>
      </c>
      <c r="R11" s="25">
        <f>'TUSD BE'!$R$11*'TUSD BE'!$R$58</f>
        <v>-0.64377302564927097</v>
      </c>
      <c r="S11" s="25">
        <f>'TUSD BE'!$R$11*'TUSD BE'!$S$58</f>
        <v>0</v>
      </c>
      <c r="T11" s="25">
        <f ca="1">SUM($L$11:$S$11)</f>
        <v>-7.0628794097760874</v>
      </c>
      <c r="U11" s="25">
        <f>'TUSD BE'!$U$11*'TUSD BE'!$U$58</f>
        <v>0</v>
      </c>
      <c r="V11" s="25">
        <f>'TUSD BE'!$V$11*'TUSD BE'!$V$58</f>
        <v>0</v>
      </c>
      <c r="W11" s="25">
        <f>'TUSD BE'!$W$11*'TUSD BE'!$W$58</f>
        <v>0</v>
      </c>
      <c r="X11" s="25">
        <f>'TUSD BE'!$X$11*'TUSD BE'!$X$58</f>
        <v>0</v>
      </c>
      <c r="Y11" s="25">
        <f>'TUSD BE'!$Y$11*'TUSD BE'!$Y$58</f>
        <v>505.91229147098369</v>
      </c>
      <c r="Z11" s="25">
        <f>'TUSD BE'!$Z$11*'TUSD BE'!$Z$58</f>
        <v>0</v>
      </c>
      <c r="AA11" s="25">
        <f>'TUSD BE'!$AA$11*'TUSD BE'!$AA$58</f>
        <v>0</v>
      </c>
      <c r="AB11" s="25">
        <f>SUM($U$11:$AA$11)</f>
        <v>505.91229147098369</v>
      </c>
      <c r="AC11" s="25">
        <f>'TUSD BE'!$AC$11*'TUSD BE'!$AC$58</f>
        <v>-87.78734763284821</v>
      </c>
      <c r="AD11" s="25">
        <f>SUM($AC$11:$AC$11)</f>
        <v>-87.78734763284821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BE'!$AH$58</f>
        <v>2.0050748392379996</v>
      </c>
      <c r="AI11" s="25">
        <f>'TUSD BE'!$AI$11*'TUSD BE'!$AI$58</f>
        <v>0</v>
      </c>
      <c r="AJ11" s="25">
        <f ca="1">'TUSD BE'!$AJ$11*'TUSD BE'!$AJ$58</f>
        <v>0.4561200300405065</v>
      </c>
      <c r="AK11" s="25">
        <f ca="1">'TUSD BE'!$AK$11*'TUSD BE'!$AK$58</f>
        <v>0</v>
      </c>
      <c r="AL11" s="25">
        <f ca="1">SUM($AH$11:$AK$11)</f>
        <v>2.4611948692785059</v>
      </c>
      <c r="AM11" s="25">
        <f ca="1">SUMIF($L$4:$AL$4,"SUBTOTAL",$L$11:$AL$11)</f>
        <v>413.52325929763794</v>
      </c>
      <c r="AO11" s="30">
        <f ca="1">+'TUSD BE'!$T$11+'TUSD BE'!$AB$11+'TUSD BE'!$AD$11+'TUSD BE'!$AL$11</f>
        <v>4439.1553764878936</v>
      </c>
      <c r="AP11" s="30">
        <f ca="1">+'TUSD BE'!$T$11+'TUSD BE'!$AB$11+'TUSD BE'!$AD$11+'TUSD BE'!$AL$11</f>
        <v>4439.1553764878936</v>
      </c>
    </row>
    <row r="12" spans="1:42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25">
        <f>'TUSD BE'!$L$12*'TUSD BE'!$L$58</f>
        <v>0</v>
      </c>
      <c r="M12" s="25">
        <f>'TUSD BE'!$M$12*'TUSD BE'!$M$58</f>
        <v>-0.11788341709039178</v>
      </c>
      <c r="N12" s="25">
        <f ca="1">'TUSD BE'!$N$12*'TUSD BE'!$N$58</f>
        <v>0</v>
      </c>
      <c r="O12" s="25">
        <f>'TUSD BE'!$O$12*'TUSD BE'!$O$58</f>
        <v>0</v>
      </c>
      <c r="P12" s="25">
        <f>'TUSD BE'!$P$12*'TUSD BE'!$P$58</f>
        <v>0</v>
      </c>
      <c r="Q12" s="25">
        <f>'TUSD BE'!$Q$12*'TUSD BE'!$Q$58</f>
        <v>-6.3012229670364253</v>
      </c>
      <c r="R12" s="25">
        <f>'TUSD BE'!$R$12*'TUSD BE'!$R$58</f>
        <v>-0.64377302564927097</v>
      </c>
      <c r="S12" s="25">
        <f>'TUSD BE'!$R$12*'TUSD BE'!$S$58</f>
        <v>0</v>
      </c>
      <c r="T12" s="25">
        <f ca="1">SUM($L$12:$S$12)</f>
        <v>-7.0628794097760874</v>
      </c>
      <c r="U12" s="25">
        <f>'TUSD BE'!$U$12*'TUSD BE'!$U$58</f>
        <v>0</v>
      </c>
      <c r="V12" s="25">
        <f>'TUSD BE'!$V$12*'TUSD BE'!$V$58</f>
        <v>0</v>
      </c>
      <c r="W12" s="25">
        <f>'TUSD BE'!$W$12*'TUSD BE'!$W$58</f>
        <v>0</v>
      </c>
      <c r="X12" s="25">
        <f>'TUSD BE'!$X$12*'TUSD BE'!$X$58</f>
        <v>0</v>
      </c>
      <c r="Y12" s="25">
        <f>'TUSD BE'!$Y$12*'TUSD BE'!$Y$58</f>
        <v>0</v>
      </c>
      <c r="Z12" s="25">
        <f>'TUSD BE'!$Z$12*'TUSD BE'!$Z$58</f>
        <v>0</v>
      </c>
      <c r="AA12" s="25">
        <f>'TUSD BE'!$AA$12*'TUSD BE'!$AA$58</f>
        <v>0</v>
      </c>
      <c r="AB12" s="25">
        <f>SUM($U$12:$AA$12)</f>
        <v>0</v>
      </c>
      <c r="AC12" s="25">
        <f>'TUSD BE'!$AC$12*'TUSD BE'!$AC$58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BE'!$AH$58</f>
        <v>2.0050748392379996</v>
      </c>
      <c r="AI12" s="25">
        <f>'TUSD BE'!$AI$12*'TUSD BE'!$AI$58</f>
        <v>0</v>
      </c>
      <c r="AJ12" s="25">
        <f ca="1">'TUSD BE'!$AJ$12*'TUSD BE'!$AJ$58</f>
        <v>0.4561200300405065</v>
      </c>
      <c r="AK12" s="25">
        <f ca="1">'TUSD BE'!$AK$12*'TUSD BE'!$AK$58</f>
        <v>0</v>
      </c>
      <c r="AL12" s="25">
        <f ca="1">SUM($AH$12:$AK$12)</f>
        <v>2.4611948692785059</v>
      </c>
      <c r="AM12" s="25">
        <f ca="1">SUMIF($L$4:$AL$4,"SUBTOTAL",$L$12:$AL$12)</f>
        <v>-4.6016845404975815</v>
      </c>
      <c r="AO12" s="30">
        <f ca="1">+'TUSD BE'!$T$12+'TUSD BE'!$AB$12+'TUSD BE'!$AD$12+'TUSD BE'!$AL$12</f>
        <v>140.18485435796848</v>
      </c>
      <c r="AP12" s="30">
        <f ca="1">+'TUSD BE'!$T$12+'TUSD BE'!$AB$12+'TUSD BE'!$AD$12+'TUSD BE'!$AL$12</f>
        <v>140.18485435796848</v>
      </c>
    </row>
    <row r="13" spans="1:42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25">
        <f>'TUSD BE'!$L$13*'TUSD BE'!$L$58</f>
        <v>0</v>
      </c>
      <c r="M13" s="25">
        <f>'TUSD BE'!$M$13*'TUSD BE'!$M$58</f>
        <v>-0.11788341709039178</v>
      </c>
      <c r="N13" s="25">
        <f ca="1">'TUSD BE'!$N$13*'TUSD BE'!$N$58</f>
        <v>0</v>
      </c>
      <c r="O13" s="25">
        <f>'TUSD BE'!$O$13*'TUSD BE'!$O$58</f>
        <v>0</v>
      </c>
      <c r="P13" s="25">
        <f>'TUSD BE'!$P$13*'TUSD BE'!$P$58</f>
        <v>0</v>
      </c>
      <c r="Q13" s="25">
        <f>'TUSD BE'!$Q$13*'TUSD BE'!$Q$58</f>
        <v>0</v>
      </c>
      <c r="R13" s="25">
        <f>'TUSD BE'!$R$13*'TUSD BE'!$R$58</f>
        <v>0</v>
      </c>
      <c r="S13" s="25">
        <f>'TUSD BE'!$R$13*'TUSD BE'!$S$58</f>
        <v>0</v>
      </c>
      <c r="T13" s="25">
        <f ca="1">SUM($L$13:$S$13)</f>
        <v>-0.11788341709039178</v>
      </c>
      <c r="U13" s="25">
        <f>'TUSD BE'!$U$13*'TUSD BE'!$U$58</f>
        <v>0</v>
      </c>
      <c r="V13" s="25">
        <f>'TUSD BE'!$V$13*'TUSD BE'!$V$58</f>
        <v>0</v>
      </c>
      <c r="W13" s="25">
        <f>'TUSD BE'!$W$13*'TUSD BE'!$W$58</f>
        <v>0</v>
      </c>
      <c r="X13" s="25">
        <f>'TUSD BE'!$X$13*'TUSD BE'!$X$58</f>
        <v>0</v>
      </c>
      <c r="Y13" s="25">
        <f>'TUSD BE'!$Y$13*'TUSD BE'!$Y$58</f>
        <v>505.91229147098369</v>
      </c>
      <c r="Z13" s="25">
        <f>'TUSD BE'!$Z$13*'TUSD BE'!$Z$58</f>
        <v>0</v>
      </c>
      <c r="AA13" s="25">
        <f>'TUSD BE'!$AA$13*'TUSD BE'!$AA$58</f>
        <v>0</v>
      </c>
      <c r="AB13" s="25">
        <f>SUM($U$13:$AA$13)</f>
        <v>505.91229147098369</v>
      </c>
      <c r="AC13" s="25">
        <f>'TUSD BE'!$AC$13*'TUSD BE'!$AC$58</f>
        <v>-87.78734763284821</v>
      </c>
      <c r="AD13" s="25">
        <f>SUM($AC$13:$AC$13)</f>
        <v>-87.78734763284821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BE'!$AH$58</f>
        <v>2.0050748392379996</v>
      </c>
      <c r="AI13" s="25">
        <f>'TUSD BE'!$AI$13*'TUSD BE'!$AI$58</f>
        <v>0</v>
      </c>
      <c r="AJ13" s="25">
        <f ca="1">'TUSD BE'!$AJ$13*'TUSD BE'!$AJ$58</f>
        <v>0.4561200300405065</v>
      </c>
      <c r="AK13" s="25">
        <f ca="1">'TUSD BE'!$AK$13*'TUSD BE'!$AK$58</f>
        <v>0</v>
      </c>
      <c r="AL13" s="25">
        <f ca="1">SUM($AH$13:$AK$13)</f>
        <v>2.4611948692785059</v>
      </c>
      <c r="AM13" s="25">
        <f ca="1">SUMIF($L$4:$AL$4,"SUBTOTAL",$L$13:$AL$13)</f>
        <v>420.46825529032361</v>
      </c>
      <c r="AO13" s="30">
        <f ca="1">+'TUSD BE'!$T$13+'TUSD BE'!$AB$13+'TUSD BE'!$AD$13+'TUSD BE'!$AL$13</f>
        <v>4311.225999816339</v>
      </c>
      <c r="AP13" s="30">
        <f ca="1">+'TUSD BE'!$T$13+'TUSD BE'!$AB$13+'TUSD BE'!$AD$13+'TUSD BE'!$AL$13</f>
        <v>4311.225999816339</v>
      </c>
    </row>
    <row r="14" spans="1:42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25">
        <f>'TUSD BE'!$L$14*'TUSD BE'!$L$58</f>
        <v>0</v>
      </c>
      <c r="M14" s="25">
        <f>'TUSD BE'!$M$14*'TUSD BE'!$M$58</f>
        <v>-0.11788341709039178</v>
      </c>
      <c r="N14" s="25">
        <f ca="1">'TUSD BE'!$N$14*'TUSD BE'!$N$58</f>
        <v>0</v>
      </c>
      <c r="O14" s="25">
        <f>'TUSD BE'!$O$14*'TUSD BE'!$O$58</f>
        <v>0</v>
      </c>
      <c r="P14" s="25">
        <f>'TUSD BE'!$P$14*'TUSD BE'!$P$58</f>
        <v>0</v>
      </c>
      <c r="Q14" s="25">
        <f>'TUSD BE'!$Q$14*'TUSD BE'!$Q$58</f>
        <v>0</v>
      </c>
      <c r="R14" s="25">
        <f>'TUSD BE'!$R$14*'TUSD BE'!$R$58</f>
        <v>0</v>
      </c>
      <c r="S14" s="25">
        <f>'TUSD BE'!$R$14*'TUSD BE'!$S$58</f>
        <v>0</v>
      </c>
      <c r="T14" s="25">
        <f ca="1">SUM($L$14:$S$14)</f>
        <v>-0.11788341709039178</v>
      </c>
      <c r="U14" s="25">
        <f>'TUSD BE'!$U$14*'TUSD BE'!$U$58</f>
        <v>0</v>
      </c>
      <c r="V14" s="25">
        <f>'TUSD BE'!$V$14*'TUSD BE'!$V$58</f>
        <v>0</v>
      </c>
      <c r="W14" s="25">
        <f>'TUSD BE'!$W$14*'TUSD BE'!$W$58</f>
        <v>0</v>
      </c>
      <c r="X14" s="25">
        <f>'TUSD BE'!$X$14*'TUSD BE'!$X$58</f>
        <v>0</v>
      </c>
      <c r="Y14" s="25">
        <f>'TUSD BE'!$Y$14*'TUSD BE'!$Y$58</f>
        <v>0</v>
      </c>
      <c r="Z14" s="25">
        <f>'TUSD BE'!$Z$14*'TUSD BE'!$Z$58</f>
        <v>0</v>
      </c>
      <c r="AA14" s="25">
        <f>'TUSD BE'!$AA$14*'TUSD BE'!$AA$58</f>
        <v>0</v>
      </c>
      <c r="AB14" s="25">
        <f>SUM($U$14:$AA$14)</f>
        <v>0</v>
      </c>
      <c r="AC14" s="25">
        <f>'TUSD BE'!$AC$14*'TUSD BE'!$AC$58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BE'!$AH$58</f>
        <v>2.0050748392379996</v>
      </c>
      <c r="AI14" s="25">
        <f>'TUSD BE'!$AI$14*'TUSD BE'!$AI$58</f>
        <v>0</v>
      </c>
      <c r="AJ14" s="25">
        <f ca="1">'TUSD BE'!$AJ$14*'TUSD BE'!$AJ$58</f>
        <v>0.4561200300405065</v>
      </c>
      <c r="AK14" s="25">
        <f ca="1">'TUSD BE'!$AK$14*'TUSD BE'!$AK$58</f>
        <v>0</v>
      </c>
      <c r="AL14" s="25">
        <f ca="1">SUM($AH$14:$AK$14)</f>
        <v>2.4611948692785059</v>
      </c>
      <c r="AM14" s="25">
        <f ca="1">SUMIF($L$4:$AL$4,"SUBTOTAL",$L$14:$AL$14)</f>
        <v>2.343311452188114</v>
      </c>
      <c r="AO14" s="30">
        <f ca="1">+'TUSD BE'!$T$14+'TUSD BE'!$AB$14+'TUSD BE'!$AD$14+'TUSD BE'!$AL$14</f>
        <v>12.255477686414713</v>
      </c>
      <c r="AP14" s="30">
        <f ca="1">+'TUSD BE'!$T$14+'TUSD BE'!$AB$14+'TUSD BE'!$AD$14+'TUSD BE'!$AL$14</f>
        <v>12.255477686414713</v>
      </c>
    </row>
    <row r="15" spans="1:42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28" t="s">
        <v>78</v>
      </c>
      <c r="F15" s="28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25">
        <f>'TUSD BE'!$L$15*'TUSD BE'!$L$58</f>
        <v>0</v>
      </c>
      <c r="M15" s="25">
        <f>'TUSD BE'!$M$15*'TUSD BE'!$M$58</f>
        <v>-7.2681962327917238E-4</v>
      </c>
      <c r="N15" s="25">
        <f ca="1">'TUSD BE'!$N$15*'TUSD BE'!$N$58</f>
        <v>0</v>
      </c>
      <c r="O15" s="25">
        <f>'TUSD BE'!$O$15*'TUSD BE'!$O$58</f>
        <v>0</v>
      </c>
      <c r="P15" s="25">
        <f>'TUSD BE'!$P$15*'TUSD BE'!$P$58</f>
        <v>0</v>
      </c>
      <c r="Q15" s="25">
        <f>'TUSD BE'!$Q$15*'TUSD BE'!$Q$58</f>
        <v>0</v>
      </c>
      <c r="R15" s="25">
        <f>'TUSD BE'!$R$15*'TUSD BE'!$R$58</f>
        <v>0</v>
      </c>
      <c r="S15" s="25">
        <f>'TUSD BE'!$R$15*'TUSD BE'!$S$58</f>
        <v>0</v>
      </c>
      <c r="T15" s="25">
        <f ca="1">SUM($L$15:$S$15)</f>
        <v>-7.2681962327917238E-4</v>
      </c>
      <c r="U15" s="25">
        <f>'TUSD BE'!$U$15*'TUSD BE'!$U$58</f>
        <v>0</v>
      </c>
      <c r="V15" s="25">
        <f>'TUSD BE'!$V$15*'TUSD BE'!$V$58</f>
        <v>0</v>
      </c>
      <c r="W15" s="25">
        <f>'TUSD BE'!$W$15*'TUSD BE'!$W$58</f>
        <v>0</v>
      </c>
      <c r="X15" s="25">
        <f>'TUSD BE'!$X$15*'TUSD BE'!$X$58</f>
        <v>0</v>
      </c>
      <c r="Y15" s="25">
        <f>'TUSD BE'!$Y$15*'TUSD BE'!$Y$58</f>
        <v>0</v>
      </c>
      <c r="Z15" s="25">
        <f>'TUSD BE'!$Z$15*'TUSD BE'!$Z$58</f>
        <v>0</v>
      </c>
      <c r="AA15" s="25">
        <f>'TUSD BE'!$AA$15*'TUSD BE'!$AA$58</f>
        <v>0</v>
      </c>
      <c r="AB15" s="25">
        <f>SUM($U$15:$AA$15)</f>
        <v>0</v>
      </c>
      <c r="AC15" s="25">
        <f>'TUSD BE'!$AC$15*'TUSD BE'!$AC$58</f>
        <v>-0.11731126665939139</v>
      </c>
      <c r="AD15" s="25">
        <f>SUM($AC$15:$AC$15)</f>
        <v>-0.11731126665939139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BE'!$AH$58</f>
        <v>0</v>
      </c>
      <c r="AI15" s="25">
        <f>'TUSD BE'!$AI$15*'TUSD BE'!$AI$58</f>
        <v>0</v>
      </c>
      <c r="AJ15" s="25">
        <f ca="1">'TUSD BE'!$AJ$15*'TUSD BE'!$AJ$58</f>
        <v>0</v>
      </c>
      <c r="AK15" s="25">
        <f ca="1">'TUSD BE'!$AK$15*'TUSD BE'!$AK$58</f>
        <v>0</v>
      </c>
      <c r="AL15" s="25">
        <f ca="1">SUM($AH$15:$AK$15)</f>
        <v>0</v>
      </c>
      <c r="AM15" s="25">
        <f ca="1">SUMIF($L$4:$AL$4,"SUBTOTAL",$L$15:$AL$15)</f>
        <v>-0.11803808628267055</v>
      </c>
      <c r="AO15" s="30">
        <f ca="1">+'TUSD BE'!$T$15+'TUSD BE'!$AB$15+'TUSD BE'!$AD$15+'TUSD BE'!$AL$15</f>
        <v>3.5903368480620643</v>
      </c>
      <c r="AP15" s="30">
        <f ca="1">+'TUSD BE'!$T$15+'TUSD BE'!$AB$15+'TUSD BE'!$AD$15+'TUSD BE'!$AL$15</f>
        <v>3.5903368480620643</v>
      </c>
    </row>
    <row r="16" spans="1:42" ht="11.25" customHeight="1" x14ac:dyDescent="0.3">
      <c r="A16" s="125"/>
      <c r="B16" s="125"/>
      <c r="C16" s="125"/>
      <c r="D16" s="125"/>
      <c r="E16" s="28" t="s">
        <v>79</v>
      </c>
      <c r="F16" s="28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25">
        <f>'TUSD BE'!$L$16*'TUSD BE'!$L$58</f>
        <v>0</v>
      </c>
      <c r="M16" s="25">
        <f>'TUSD BE'!$M$16*'TUSD BE'!$M$58</f>
        <v>-7.2681962327917238E-4</v>
      </c>
      <c r="N16" s="25">
        <f ca="1">'TUSD BE'!$N$16*'TUSD BE'!$N$58</f>
        <v>0</v>
      </c>
      <c r="O16" s="25">
        <f>'TUSD BE'!$O$16*'TUSD BE'!$O$58</f>
        <v>0</v>
      </c>
      <c r="P16" s="25">
        <f>'TUSD BE'!$P$16*'TUSD BE'!$P$58</f>
        <v>0</v>
      </c>
      <c r="Q16" s="25">
        <f>'TUSD BE'!$Q$16*'TUSD BE'!$Q$58</f>
        <v>0</v>
      </c>
      <c r="R16" s="25">
        <f>'TUSD BE'!$R$16*'TUSD BE'!$R$58</f>
        <v>0</v>
      </c>
      <c r="S16" s="25">
        <f>'TUSD BE'!$R$16*'TUSD BE'!$S$58</f>
        <v>0</v>
      </c>
      <c r="T16" s="25">
        <f ca="1">SUM($L$16:$S$16)</f>
        <v>-7.2681962327917238E-4</v>
      </c>
      <c r="U16" s="25">
        <f>'TUSD BE'!$U$16*'TUSD BE'!$U$58</f>
        <v>0</v>
      </c>
      <c r="V16" s="25">
        <f>'TUSD BE'!$V$16*'TUSD BE'!$V$58</f>
        <v>0</v>
      </c>
      <c r="W16" s="25">
        <f>'TUSD BE'!$W$16*'TUSD BE'!$W$58</f>
        <v>0</v>
      </c>
      <c r="X16" s="25">
        <f>'TUSD BE'!$X$16*'TUSD BE'!$X$58</f>
        <v>0</v>
      </c>
      <c r="Y16" s="25">
        <f>'TUSD BE'!$Y$16*'TUSD BE'!$Y$58</f>
        <v>0</v>
      </c>
      <c r="Z16" s="25">
        <f>'TUSD BE'!$Z$16*'TUSD BE'!$Z$58</f>
        <v>0</v>
      </c>
      <c r="AA16" s="25">
        <f>'TUSD BE'!$AA$16*'TUSD BE'!$AA$58</f>
        <v>0</v>
      </c>
      <c r="AB16" s="25">
        <f>SUM($U$16:$AA$16)</f>
        <v>0</v>
      </c>
      <c r="AC16" s="25">
        <f>'TUSD BE'!$AC$16*'TUSD BE'!$AC$58</f>
        <v>-0.37808610885973032</v>
      </c>
      <c r="AD16" s="25">
        <f>SUM($AC$16:$AC$16)</f>
        <v>-0.37808610885973032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BE'!$AH$58</f>
        <v>0</v>
      </c>
      <c r="AI16" s="25">
        <f>'TUSD BE'!$AI$16*'TUSD BE'!$AI$58</f>
        <v>0</v>
      </c>
      <c r="AJ16" s="25">
        <f ca="1">'TUSD BE'!$AJ$16*'TUSD BE'!$AJ$58</f>
        <v>0</v>
      </c>
      <c r="AK16" s="25">
        <f ca="1">'TUSD BE'!$AK$16*'TUSD BE'!$AK$58</f>
        <v>0</v>
      </c>
      <c r="AL16" s="25">
        <f ca="1">SUM($AH$16:$AK$16)</f>
        <v>0</v>
      </c>
      <c r="AM16" s="25">
        <f ca="1">SUMIF($L$4:$AL$4,"SUBTOTAL",$L$16:$AL$16)</f>
        <v>-0.37881292848300951</v>
      </c>
      <c r="AO16" s="30">
        <f ca="1">+'TUSD BE'!$T$16+'TUSD BE'!$AB$16+'TUSD BE'!$AD$16+'TUSD BE'!$AL$16</f>
        <v>11.545428548152207</v>
      </c>
      <c r="AP16" s="30">
        <f ca="1">+'TUSD BE'!$T$16+'TUSD BE'!$AB$16+'TUSD BE'!$AD$16+'TUSD BE'!$AL$16</f>
        <v>11.545428548152207</v>
      </c>
    </row>
    <row r="17" spans="1:42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25">
        <f>'TUSD BE'!$L$17*'TUSD BE'!$L$58</f>
        <v>0</v>
      </c>
      <c r="M17" s="25">
        <f>'TUSD BE'!$M$17*'TUSD BE'!$M$58</f>
        <v>-0.1576210433689833</v>
      </c>
      <c r="N17" s="25">
        <f ca="1">'TUSD BE'!$N$17*'TUSD BE'!$N$58</f>
        <v>0</v>
      </c>
      <c r="O17" s="25">
        <f>'TUSD BE'!$O$17*'TUSD BE'!$O$58</f>
        <v>0</v>
      </c>
      <c r="P17" s="25">
        <f>'TUSD BE'!$P$17*'TUSD BE'!$P$58</f>
        <v>0</v>
      </c>
      <c r="Q17" s="25">
        <f>'TUSD BE'!$Q$17*'TUSD BE'!$Q$58</f>
        <v>-7.5014559131386029</v>
      </c>
      <c r="R17" s="25">
        <f>'TUSD BE'!$R$17*'TUSD BE'!$R$58</f>
        <v>-0.64377302564927097</v>
      </c>
      <c r="S17" s="25">
        <f>'TUSD BE'!$R$17*'TUSD BE'!$S$58</f>
        <v>0</v>
      </c>
      <c r="T17" s="25">
        <f ca="1">SUM($L$17:$S$17)</f>
        <v>-8.3028499821568573</v>
      </c>
      <c r="U17" s="25">
        <f>'TUSD BE'!$U$17*'TUSD BE'!$U$58</f>
        <v>0</v>
      </c>
      <c r="V17" s="25">
        <f>'TUSD BE'!$V$17*'TUSD BE'!$V$58</f>
        <v>0</v>
      </c>
      <c r="W17" s="25">
        <f>'TUSD BE'!$W$17*'TUSD BE'!$W$58</f>
        <v>0</v>
      </c>
      <c r="X17" s="25">
        <f>'TUSD BE'!$X$17*'TUSD BE'!$X$58</f>
        <v>0</v>
      </c>
      <c r="Y17" s="25">
        <f>'TUSD BE'!$Y$17*'TUSD BE'!$Y$58</f>
        <v>266.19446206532695</v>
      </c>
      <c r="Z17" s="25">
        <f>'TUSD BE'!$Z$17*'TUSD BE'!$Z$58</f>
        <v>0</v>
      </c>
      <c r="AA17" s="25">
        <f>'TUSD BE'!$AA$17*'TUSD BE'!$AA$58</f>
        <v>0</v>
      </c>
      <c r="AB17" s="25">
        <f>SUM($U$17:$AA$17)</f>
        <v>266.19446206532695</v>
      </c>
      <c r="AC17" s="25">
        <f>'TUSD BE'!$AC$17*'TUSD BE'!$AC$58</f>
        <v>-48.268702649882442</v>
      </c>
      <c r="AD17" s="25">
        <f>SUM($AC$17:$AC$17)</f>
        <v>-48.268702649882442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BE'!$AH$58</f>
        <v>4.3371179880199549</v>
      </c>
      <c r="AI17" s="25">
        <f>'TUSD BE'!$AI$17*'TUSD BE'!$AI$58</f>
        <v>0</v>
      </c>
      <c r="AJ17" s="25">
        <f ca="1">'TUSD BE'!$AJ$17*'TUSD BE'!$AJ$58</f>
        <v>0.59232525135728331</v>
      </c>
      <c r="AK17" s="25">
        <f ca="1">'TUSD BE'!$AK$17*'TUSD BE'!$AK$58</f>
        <v>0</v>
      </c>
      <c r="AL17" s="25">
        <f ca="1">SUM($AH$17:$AK$17)</f>
        <v>4.9294432393772381</v>
      </c>
      <c r="AM17" s="25">
        <f ca="1">SUMIF($L$4:$AL$4,"SUBTOTAL",$L$17:$AL$17)</f>
        <v>214.55235267266491</v>
      </c>
      <c r="AO17" s="30">
        <f ca="1">+'TUSD BE'!$T$17+'TUSD BE'!$AB$17+'TUSD BE'!$AD$17+'TUSD BE'!$AL$17</f>
        <v>2498.2111476850919</v>
      </c>
      <c r="AP17" s="30">
        <f ca="1">+'TUSD BE'!$T$17+'TUSD BE'!$AB$17+'TUSD BE'!$AD$17+'TUSD BE'!$AL$17</f>
        <v>2498.2111476850919</v>
      </c>
    </row>
    <row r="18" spans="1:42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25">
        <f>'TUSD BE'!$L$18*'TUSD BE'!$L$58</f>
        <v>0</v>
      </c>
      <c r="M18" s="25">
        <f>'TUSD BE'!$M$18*'TUSD BE'!$M$58</f>
        <v>-0.1576210433689833</v>
      </c>
      <c r="N18" s="25">
        <f ca="1">'TUSD BE'!$N$18*'TUSD BE'!$N$58</f>
        <v>0</v>
      </c>
      <c r="O18" s="25">
        <f>'TUSD BE'!$O$18*'TUSD BE'!$O$58</f>
        <v>0</v>
      </c>
      <c r="P18" s="25">
        <f>'TUSD BE'!$P$18*'TUSD BE'!$P$58</f>
        <v>0</v>
      </c>
      <c r="Q18" s="25">
        <f>'TUSD BE'!$Q$18*'TUSD BE'!$Q$58</f>
        <v>-7.5014559131386029</v>
      </c>
      <c r="R18" s="25">
        <f>'TUSD BE'!$R$18*'TUSD BE'!$R$58</f>
        <v>-0.64377302564927097</v>
      </c>
      <c r="S18" s="25">
        <f>'TUSD BE'!$R$18*'TUSD BE'!$S$58</f>
        <v>0</v>
      </c>
      <c r="T18" s="25">
        <f ca="1">SUM($L$18:$S$18)</f>
        <v>-8.3028499821568573</v>
      </c>
      <c r="U18" s="25">
        <f>'TUSD BE'!$U$18*'TUSD BE'!$U$58</f>
        <v>0</v>
      </c>
      <c r="V18" s="25">
        <f>'TUSD BE'!$V$18*'TUSD BE'!$V$58</f>
        <v>0</v>
      </c>
      <c r="W18" s="25">
        <f>'TUSD BE'!$W$18*'TUSD BE'!$W$58</f>
        <v>0</v>
      </c>
      <c r="X18" s="25">
        <f>'TUSD BE'!$X$18*'TUSD BE'!$X$58</f>
        <v>0</v>
      </c>
      <c r="Y18" s="25">
        <f>'TUSD BE'!$Y$18*'TUSD BE'!$Y$58</f>
        <v>159.71625800720312</v>
      </c>
      <c r="Z18" s="25">
        <f>'TUSD BE'!$Z$18*'TUSD BE'!$Z$58</f>
        <v>0</v>
      </c>
      <c r="AA18" s="25">
        <f>'TUSD BE'!$AA$18*'TUSD BE'!$AA$58</f>
        <v>0</v>
      </c>
      <c r="AB18" s="25">
        <f>SUM($U$18:$AA$18)</f>
        <v>159.71625800720312</v>
      </c>
      <c r="AC18" s="25">
        <f>'TUSD BE'!$AC$18*'TUSD BE'!$AC$58</f>
        <v>-28.961223042835517</v>
      </c>
      <c r="AD18" s="25">
        <f>SUM($AC$18:$AC$18)</f>
        <v>-28.961223042835517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BE'!$AH$58</f>
        <v>4.3371179880199549</v>
      </c>
      <c r="AI18" s="25">
        <f>'TUSD BE'!$AI$18*'TUSD BE'!$AI$58</f>
        <v>0</v>
      </c>
      <c r="AJ18" s="25">
        <f ca="1">'TUSD BE'!$AJ$18*'TUSD BE'!$AJ$58</f>
        <v>0.59232525135728331</v>
      </c>
      <c r="AK18" s="25">
        <f ca="1">'TUSD BE'!$AK$18*'TUSD BE'!$AK$58</f>
        <v>0</v>
      </c>
      <c r="AL18" s="25">
        <f ca="1">SUM($AH$18:$AK$18)</f>
        <v>4.9294432393772381</v>
      </c>
      <c r="AM18" s="25">
        <f ca="1">SUMIF($L$4:$AL$4,"SUBTOTAL",$L$18:$AL$18)</f>
        <v>127.38162822158799</v>
      </c>
      <c r="AO18" s="30">
        <f ca="1">+'TUSD BE'!$T$18+'TUSD BE'!$AB$18+'TUSD BE'!$AD$18+'TUSD BE'!$AL$18</f>
        <v>1568.0641420542979</v>
      </c>
      <c r="AP18" s="30">
        <f ca="1">+'TUSD BE'!$T$18+'TUSD BE'!$AB$18+'TUSD BE'!$AD$18+'TUSD BE'!$AL$18</f>
        <v>1568.0641420542979</v>
      </c>
    </row>
    <row r="19" spans="1:42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25">
        <f>'TUSD BE'!$L$19*'TUSD BE'!$L$58</f>
        <v>0</v>
      </c>
      <c r="M19" s="25">
        <f>'TUSD BE'!$M$19*'TUSD BE'!$M$58</f>
        <v>-0.1576210433689833</v>
      </c>
      <c r="N19" s="25">
        <f ca="1">'TUSD BE'!$N$19*'TUSD BE'!$N$58</f>
        <v>0</v>
      </c>
      <c r="O19" s="25">
        <f>'TUSD BE'!$O$19*'TUSD BE'!$O$58</f>
        <v>0</v>
      </c>
      <c r="P19" s="25">
        <f>'TUSD BE'!$P$19*'TUSD BE'!$P$58</f>
        <v>0</v>
      </c>
      <c r="Q19" s="25">
        <f>'TUSD BE'!$Q$19*'TUSD BE'!$Q$58</f>
        <v>-7.5014559131386029</v>
      </c>
      <c r="R19" s="25">
        <f>'TUSD BE'!$R$19*'TUSD BE'!$R$58</f>
        <v>-0.64377302564927097</v>
      </c>
      <c r="S19" s="25">
        <f>'TUSD BE'!$R$19*'TUSD BE'!$S$58</f>
        <v>0</v>
      </c>
      <c r="T19" s="25">
        <f ca="1">SUM($L$19:$S$19)</f>
        <v>-8.3028499821568573</v>
      </c>
      <c r="U19" s="25">
        <f>'TUSD BE'!$U$19*'TUSD BE'!$U$58</f>
        <v>0</v>
      </c>
      <c r="V19" s="25">
        <f>'TUSD BE'!$V$19*'TUSD BE'!$V$58</f>
        <v>0</v>
      </c>
      <c r="W19" s="25">
        <f>'TUSD BE'!$W$19*'TUSD BE'!$W$58</f>
        <v>0</v>
      </c>
      <c r="X19" s="25">
        <f>'TUSD BE'!$X$19*'TUSD BE'!$X$58</f>
        <v>0</v>
      </c>
      <c r="Y19" s="25">
        <f>'TUSD BE'!$Y$19*'TUSD BE'!$Y$58</f>
        <v>53.239174310439999</v>
      </c>
      <c r="Z19" s="25">
        <f>'TUSD BE'!$Z$19*'TUSD BE'!$Z$58</f>
        <v>0</v>
      </c>
      <c r="AA19" s="25">
        <f>'TUSD BE'!$AA$19*'TUSD BE'!$AA$58</f>
        <v>0</v>
      </c>
      <c r="AB19" s="25">
        <f>SUM($U$19:$AA$19)</f>
        <v>53.239174310439999</v>
      </c>
      <c r="AC19" s="25">
        <f>'TUSD BE'!$AC$19*'TUSD BE'!$AC$58</f>
        <v>-9.6537434357885843</v>
      </c>
      <c r="AD19" s="25">
        <f>SUM($AC$19:$AC$19)</f>
        <v>-9.6537434357885843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BE'!$AH$58</f>
        <v>4.3371179880199549</v>
      </c>
      <c r="AI19" s="25">
        <f>'TUSD BE'!$AI$19*'TUSD BE'!$AI$58</f>
        <v>0</v>
      </c>
      <c r="AJ19" s="25">
        <f ca="1">'TUSD BE'!$AJ$19*'TUSD BE'!$AJ$58</f>
        <v>0.59232525135728331</v>
      </c>
      <c r="AK19" s="25">
        <f ca="1">'TUSD BE'!$AK$19*'TUSD BE'!$AK$58</f>
        <v>0</v>
      </c>
      <c r="AL19" s="25">
        <f ca="1">SUM($AH$19:$AK$19)</f>
        <v>4.9294432393772381</v>
      </c>
      <c r="AM19" s="25">
        <f ca="1">SUMIF($L$4:$AL$4,"SUBTOTAL",$L$19:$AL$19)</f>
        <v>40.212024131871793</v>
      </c>
      <c r="AO19" s="30">
        <f ca="1">+'TUSD BE'!$T$19+'TUSD BE'!$AB$19+'TUSD BE'!$AD$19+'TUSD BE'!$AL$19</f>
        <v>637.92072611063168</v>
      </c>
      <c r="AP19" s="30">
        <f ca="1">+'TUSD BE'!$T$19+'TUSD BE'!$AB$19+'TUSD BE'!$AD$19+'TUSD BE'!$AL$19</f>
        <v>637.92072611063168</v>
      </c>
    </row>
    <row r="20" spans="1:42" ht="11.25" customHeight="1" x14ac:dyDescent="0.3">
      <c r="A20" s="125"/>
      <c r="B20" s="125" t="s">
        <v>23</v>
      </c>
      <c r="C20" s="125" t="s">
        <v>24</v>
      </c>
      <c r="D20" s="28" t="s">
        <v>24</v>
      </c>
      <c r="E20" s="28" t="s">
        <v>25</v>
      </c>
      <c r="F20" s="28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25">
        <f>'TUSD BE'!$L$20*'TUSD BE'!$L$58</f>
        <v>0</v>
      </c>
      <c r="M20" s="25">
        <f>'TUSD BE'!$M$20*'TUSD BE'!$M$58</f>
        <v>-0.1576210433689833</v>
      </c>
      <c r="N20" s="25">
        <f ca="1">'TUSD BE'!$N$20*'TUSD BE'!$N$58</f>
        <v>0</v>
      </c>
      <c r="O20" s="25">
        <f>'TUSD BE'!$O$20*'TUSD BE'!$O$58</f>
        <v>0</v>
      </c>
      <c r="P20" s="25">
        <f>'TUSD BE'!$P$20*'TUSD BE'!$P$58</f>
        <v>0</v>
      </c>
      <c r="Q20" s="25">
        <f>'TUSD BE'!$Q$20*'TUSD BE'!$Q$58</f>
        <v>-7.5014559131386029</v>
      </c>
      <c r="R20" s="25">
        <f>'TUSD BE'!$R$20*'TUSD BE'!$R$58</f>
        <v>-0.64377302564927097</v>
      </c>
      <c r="S20" s="25">
        <f>'TUSD BE'!$R$20*'TUSD BE'!$S$58</f>
        <v>0</v>
      </c>
      <c r="T20" s="25">
        <f ca="1">SUM($L$20:$S$20)</f>
        <v>-8.3028499821568573</v>
      </c>
      <c r="U20" s="25">
        <f>'TUSD BE'!$U$20*'TUSD BE'!$U$58</f>
        <v>0</v>
      </c>
      <c r="V20" s="25">
        <f>'TUSD BE'!$V$20*'TUSD BE'!$V$58</f>
        <v>0</v>
      </c>
      <c r="W20" s="25">
        <f>'TUSD BE'!$W$20*'TUSD BE'!$W$58</f>
        <v>0</v>
      </c>
      <c r="X20" s="25">
        <f>'TUSD BE'!$X$20*'TUSD BE'!$X$58</f>
        <v>0</v>
      </c>
      <c r="Y20" s="25">
        <f>'TUSD BE'!$Y$20*'TUSD BE'!$Y$58</f>
        <v>91.791423122070853</v>
      </c>
      <c r="Z20" s="25">
        <f>'TUSD BE'!$Z$20*'TUSD BE'!$Z$58</f>
        <v>0</v>
      </c>
      <c r="AA20" s="25">
        <f>'TUSD BE'!$AA$20*'TUSD BE'!$AA$58</f>
        <v>0</v>
      </c>
      <c r="AB20" s="25">
        <f>SUM($U$20:$AA$20)</f>
        <v>91.791423122070853</v>
      </c>
      <c r="AC20" s="25">
        <f>'TUSD BE'!$AC$20*'TUSD BE'!$AC$58</f>
        <v>-16.644379096842702</v>
      </c>
      <c r="AD20" s="25">
        <f>SUM($AC$20:$AC$20)</f>
        <v>-16.644379096842702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BE'!$AH$58</f>
        <v>4.3371179880199549</v>
      </c>
      <c r="AI20" s="25">
        <f>'TUSD BE'!$AI$20*'TUSD BE'!$AI$58</f>
        <v>0</v>
      </c>
      <c r="AJ20" s="25">
        <f ca="1">'TUSD BE'!$AJ$20*'TUSD BE'!$AJ$58</f>
        <v>0.59232525135728331</v>
      </c>
      <c r="AK20" s="25">
        <f ca="1">'TUSD BE'!$AK$20*'TUSD BE'!$AK$58</f>
        <v>0</v>
      </c>
      <c r="AL20" s="25">
        <f ca="1">SUM($AH$20:$AK$20)</f>
        <v>4.9294432393772381</v>
      </c>
      <c r="AM20" s="25">
        <f ca="1">SUMIF($L$4:$AL$4,"SUBTOTAL",$L$20:$AL$20)</f>
        <v>71.773637282448533</v>
      </c>
      <c r="AO20" s="30">
        <f ca="1">+'TUSD BE'!$T$20+'TUSD BE'!$AB$20+'TUSD BE'!$AD$20+'TUSD BE'!$AL$20</f>
        <v>974.69732838639129</v>
      </c>
      <c r="AP20" s="30">
        <f ca="1">+'TUSD BE'!$T$20+'TUSD BE'!$AB$20+'TUSD BE'!$AD$20+'TUSD BE'!$AL$20</f>
        <v>974.69732838639129</v>
      </c>
    </row>
    <row r="21" spans="1:42" ht="11.25" customHeight="1" x14ac:dyDescent="0.3">
      <c r="A21" s="125"/>
      <c r="B21" s="125"/>
      <c r="C21" s="125"/>
      <c r="D21" s="28" t="s">
        <v>29</v>
      </c>
      <c r="E21" s="28" t="s">
        <v>25</v>
      </c>
      <c r="F21" s="28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25">
        <f>'TUSD BE'!$L$21*'TUSD BE'!$L$58</f>
        <v>0</v>
      </c>
      <c r="M21" s="25">
        <f>'TUSD BE'!$M$21*'TUSD BE'!$M$58</f>
        <v>-0.1576210433689833</v>
      </c>
      <c r="N21" s="25">
        <f ca="1">'TUSD BE'!$N$21*'TUSD BE'!$N$58</f>
        <v>0</v>
      </c>
      <c r="O21" s="25">
        <f>'TUSD BE'!$O$21*'TUSD BE'!$O$58</f>
        <v>0</v>
      </c>
      <c r="P21" s="25">
        <f>'TUSD BE'!$P$21*'TUSD BE'!$P$58</f>
        <v>0</v>
      </c>
      <c r="Q21" s="25">
        <f>'TUSD BE'!$Q$21*'TUSD BE'!$Q$58</f>
        <v>0</v>
      </c>
      <c r="R21" s="25">
        <f>'TUSD BE'!$R$21*'TUSD BE'!$R$58</f>
        <v>0</v>
      </c>
      <c r="S21" s="25">
        <f>'TUSD BE'!$R$21*'TUSD BE'!$S$58</f>
        <v>0</v>
      </c>
      <c r="T21" s="25">
        <f ca="1">SUM($L$21:$S$21)</f>
        <v>-0.1576210433689833</v>
      </c>
      <c r="U21" s="25">
        <f>'TUSD BE'!$U$21*'TUSD BE'!$U$58</f>
        <v>0</v>
      </c>
      <c r="V21" s="25">
        <f>'TUSD BE'!$V$21*'TUSD BE'!$V$58</f>
        <v>0</v>
      </c>
      <c r="W21" s="25">
        <f>'TUSD BE'!$W$21*'TUSD BE'!$W$58</f>
        <v>0</v>
      </c>
      <c r="X21" s="25">
        <f>'TUSD BE'!$X$21*'TUSD BE'!$X$58</f>
        <v>0</v>
      </c>
      <c r="Y21" s="25">
        <f>'TUSD BE'!$Y$21*'TUSD BE'!$Y$58</f>
        <v>91.791423122070853</v>
      </c>
      <c r="Z21" s="25">
        <f>'TUSD BE'!$Z$21*'TUSD BE'!$Z$58</f>
        <v>0</v>
      </c>
      <c r="AA21" s="25">
        <f>'TUSD BE'!$AA$21*'TUSD BE'!$AA$58</f>
        <v>0</v>
      </c>
      <c r="AB21" s="25">
        <f>SUM($U$21:$AA$21)</f>
        <v>91.791423122070853</v>
      </c>
      <c r="AC21" s="25">
        <f>'TUSD BE'!$AC$21*'TUSD BE'!$AC$58</f>
        <v>-16.644379096842702</v>
      </c>
      <c r="AD21" s="25">
        <f>SUM($AC$21:$AC$21)</f>
        <v>-16.644379096842702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BE'!$AH$58</f>
        <v>4.3371179880199549</v>
      </c>
      <c r="AI21" s="25">
        <f>'TUSD BE'!$AI$21*'TUSD BE'!$AI$58</f>
        <v>0</v>
      </c>
      <c r="AJ21" s="25">
        <f ca="1">'TUSD BE'!$AJ$21*'TUSD BE'!$AJ$58</f>
        <v>0.59232525135728331</v>
      </c>
      <c r="AK21" s="25">
        <f ca="1">'TUSD BE'!$AK$21*'TUSD BE'!$AK$58</f>
        <v>0</v>
      </c>
      <c r="AL21" s="25">
        <f ca="1">SUM($AH$21:$AK$21)</f>
        <v>4.9294432393772381</v>
      </c>
      <c r="AM21" s="25">
        <f ca="1">SUMIF($L$4:$AL$4,"SUBTOTAL",$L$21:$AL$21)</f>
        <v>79.918866221236414</v>
      </c>
      <c r="AO21" s="30">
        <f ca="1">+'TUSD BE'!$T$21+'TUSD BE'!$AB$21+'TUSD BE'!$AD$21+'TUSD BE'!$AL$21</f>
        <v>825.13455109290658</v>
      </c>
      <c r="AP21" s="30">
        <f ca="1">+'TUSD BE'!$T$21+'TUSD BE'!$AB$21+'TUSD BE'!$AD$21+'TUSD BE'!$AL$21</f>
        <v>825.13455109290658</v>
      </c>
    </row>
    <row r="22" spans="1:42" ht="11.25" customHeight="1" x14ac:dyDescent="0.3">
      <c r="A22" s="125"/>
      <c r="B22" s="125"/>
      <c r="C22" s="125"/>
      <c r="D22" s="28" t="s">
        <v>30</v>
      </c>
      <c r="E22" s="28" t="s">
        <v>25</v>
      </c>
      <c r="F22" s="28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25">
        <f>'TUSD BE'!$L$22*'TUSD BE'!$L$58</f>
        <v>0</v>
      </c>
      <c r="M22" s="25">
        <f>'TUSD BE'!$M$22*'TUSD BE'!$M$58</f>
        <v>-0.1576210433689833</v>
      </c>
      <c r="N22" s="25">
        <f ca="1">'TUSD BE'!$N$22*'TUSD BE'!$N$58</f>
        <v>0</v>
      </c>
      <c r="O22" s="25">
        <f>'TUSD BE'!$O$22*'TUSD BE'!$O$58</f>
        <v>0</v>
      </c>
      <c r="P22" s="25">
        <f>'TUSD BE'!$P$22*'TUSD BE'!$P$58</f>
        <v>0</v>
      </c>
      <c r="Q22" s="25">
        <f>'TUSD BE'!$Q$22*'TUSD BE'!$Q$58</f>
        <v>0</v>
      </c>
      <c r="R22" s="25">
        <f>'TUSD BE'!$R$22*'TUSD BE'!$R$58</f>
        <v>0</v>
      </c>
      <c r="S22" s="25">
        <f>'TUSD BE'!$R$22*'TUSD BE'!$S$58</f>
        <v>0</v>
      </c>
      <c r="T22" s="25">
        <f ca="1">SUM($L$22:$S$22)</f>
        <v>-0.1576210433689833</v>
      </c>
      <c r="U22" s="25">
        <f>'TUSD BE'!$U$22*'TUSD BE'!$U$58</f>
        <v>0</v>
      </c>
      <c r="V22" s="25">
        <f>'TUSD BE'!$V$22*'TUSD BE'!$V$58</f>
        <v>0</v>
      </c>
      <c r="W22" s="25">
        <f>'TUSD BE'!$W$22*'TUSD BE'!$W$58</f>
        <v>0</v>
      </c>
      <c r="X22" s="25">
        <f>'TUSD BE'!$X$22*'TUSD BE'!$X$58</f>
        <v>0</v>
      </c>
      <c r="Y22" s="25">
        <f>'TUSD BE'!$Y$22*'TUSD BE'!$Y$58</f>
        <v>91.791423122070853</v>
      </c>
      <c r="Z22" s="25">
        <f>'TUSD BE'!$Z$22*'TUSD BE'!$Z$58</f>
        <v>0</v>
      </c>
      <c r="AA22" s="25">
        <f>'TUSD BE'!$AA$22*'TUSD BE'!$AA$58</f>
        <v>0</v>
      </c>
      <c r="AB22" s="25">
        <f>SUM($U$22:$AA$22)</f>
        <v>91.791423122070853</v>
      </c>
      <c r="AC22" s="25">
        <f>'TUSD BE'!$AC$22*'TUSD BE'!$AC$58</f>
        <v>-16.644379096842702</v>
      </c>
      <c r="AD22" s="25">
        <f>SUM($AC$22:$AC$22)</f>
        <v>-16.644379096842702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BE'!$AH$58</f>
        <v>4.3371179880199549</v>
      </c>
      <c r="AI22" s="25">
        <f>'TUSD BE'!$AI$22*'TUSD BE'!$AI$58</f>
        <v>0</v>
      </c>
      <c r="AJ22" s="25">
        <f ca="1">'TUSD BE'!$AJ$22*'TUSD BE'!$AJ$58</f>
        <v>0.59232525135728331</v>
      </c>
      <c r="AK22" s="25">
        <f ca="1">'TUSD BE'!$AK$22*'TUSD BE'!$AK$58</f>
        <v>0</v>
      </c>
      <c r="AL22" s="25">
        <f ca="1">SUM($AH$22:$AK$22)</f>
        <v>4.9294432393772381</v>
      </c>
      <c r="AM22" s="25">
        <f ca="1">SUMIF($L$4:$AL$4,"SUBTOTAL",$L$22:$AL$22)</f>
        <v>79.918866221236414</v>
      </c>
      <c r="AO22" s="30">
        <f ca="1">+'TUSD BE'!$T$22+'TUSD BE'!$AB$22+'TUSD BE'!$AD$22+'TUSD BE'!$AL$22</f>
        <v>825.13455109290658</v>
      </c>
      <c r="AP22" s="30">
        <f ca="1">+'TUSD BE'!$T$22+'TUSD BE'!$AB$22+'TUSD BE'!$AD$22+'TUSD BE'!$AL$22</f>
        <v>825.13455109290658</v>
      </c>
    </row>
    <row r="23" spans="1:42" ht="11.25" customHeight="1" x14ac:dyDescent="0.3">
      <c r="A23" s="125"/>
      <c r="B23" s="125"/>
      <c r="C23" s="125"/>
      <c r="D23" s="28" t="s">
        <v>31</v>
      </c>
      <c r="E23" s="28" t="s">
        <v>25</v>
      </c>
      <c r="F23" s="28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25">
        <f>'TUSD BE'!$L$23*'TUSD BE'!$L$58</f>
        <v>0</v>
      </c>
      <c r="M23" s="25">
        <f>'TUSD BE'!$M$23*'TUSD BE'!$M$58</f>
        <v>-0.1576210433689833</v>
      </c>
      <c r="N23" s="25">
        <f ca="1">'TUSD BE'!$N$23*'TUSD BE'!$N$58</f>
        <v>0</v>
      </c>
      <c r="O23" s="25">
        <f>'TUSD BE'!$O$23*'TUSD BE'!$O$58</f>
        <v>0</v>
      </c>
      <c r="P23" s="25">
        <f>'TUSD BE'!$P$23*'TUSD BE'!$P$58</f>
        <v>0</v>
      </c>
      <c r="Q23" s="25">
        <f>'TUSD BE'!$Q$23*'TUSD BE'!$Q$58</f>
        <v>0</v>
      </c>
      <c r="R23" s="25">
        <f>'TUSD BE'!$R$23*'TUSD BE'!$R$58</f>
        <v>0</v>
      </c>
      <c r="S23" s="25">
        <f>'TUSD BE'!$R$23*'TUSD BE'!$S$58</f>
        <v>0</v>
      </c>
      <c r="T23" s="25">
        <f ca="1">SUM($L$23:$S$23)</f>
        <v>-0.1576210433689833</v>
      </c>
      <c r="U23" s="25">
        <f>'TUSD BE'!$U$23*'TUSD BE'!$U$58</f>
        <v>0</v>
      </c>
      <c r="V23" s="25">
        <f>'TUSD BE'!$V$23*'TUSD BE'!$V$58</f>
        <v>0</v>
      </c>
      <c r="W23" s="25">
        <f>'TUSD BE'!$W$23*'TUSD BE'!$W$58</f>
        <v>0</v>
      </c>
      <c r="X23" s="25">
        <f>'TUSD BE'!$X$23*'TUSD BE'!$X$58</f>
        <v>0</v>
      </c>
      <c r="Y23" s="25">
        <f>'TUSD BE'!$Y$23*'TUSD BE'!$Y$58</f>
        <v>91.791423122070853</v>
      </c>
      <c r="Z23" s="25">
        <f>'TUSD BE'!$Z$23*'TUSD BE'!$Z$58</f>
        <v>0</v>
      </c>
      <c r="AA23" s="25">
        <f>'TUSD BE'!$AA$23*'TUSD BE'!$AA$58</f>
        <v>0</v>
      </c>
      <c r="AB23" s="25">
        <f>SUM($U$23:$AA$23)</f>
        <v>91.791423122070853</v>
      </c>
      <c r="AC23" s="25">
        <f>'TUSD BE'!$AC$23*'TUSD BE'!$AC$58</f>
        <v>-16.644379096842702</v>
      </c>
      <c r="AD23" s="25">
        <f>SUM($AC$23:$AC$23)</f>
        <v>-16.644379096842702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BE'!$AH$58</f>
        <v>4.3371179880199549</v>
      </c>
      <c r="AI23" s="25">
        <f>'TUSD BE'!$AI$23*'TUSD BE'!$AI$58</f>
        <v>0</v>
      </c>
      <c r="AJ23" s="25">
        <f ca="1">'TUSD BE'!$AJ$23*'TUSD BE'!$AJ$58</f>
        <v>0.59232525135728331</v>
      </c>
      <c r="AK23" s="25">
        <f ca="1">'TUSD BE'!$AK$23*'TUSD BE'!$AK$58</f>
        <v>0</v>
      </c>
      <c r="AL23" s="25">
        <f ca="1">SUM($AH$23:$AK$23)</f>
        <v>4.9294432393772381</v>
      </c>
      <c r="AM23" s="25">
        <f ca="1">SUMIF($L$4:$AL$4,"SUBTOTAL",$L$23:$AL$23)</f>
        <v>79.918866221236414</v>
      </c>
      <c r="AO23" s="30">
        <f ca="1">+'TUSD BE'!$T$23+'TUSD BE'!$AB$23+'TUSD BE'!$AD$23+'TUSD BE'!$AL$23</f>
        <v>825.13455109290658</v>
      </c>
      <c r="AP23" s="30">
        <f ca="1">+'TUSD BE'!$T$23+'TUSD BE'!$AB$23+'TUSD BE'!$AD$23+'TUSD BE'!$AL$23</f>
        <v>825.13455109290658</v>
      </c>
    </row>
    <row r="24" spans="1:42" ht="11.25" customHeight="1" x14ac:dyDescent="0.3">
      <c r="A24" s="125"/>
      <c r="B24" s="125"/>
      <c r="C24" s="125"/>
      <c r="D24" s="28" t="s">
        <v>32</v>
      </c>
      <c r="E24" s="28" t="s">
        <v>25</v>
      </c>
      <c r="F24" s="28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25">
        <f>'TUSD BE'!$L$24*'TUSD BE'!$L$58</f>
        <v>0</v>
      </c>
      <c r="M24" s="25">
        <f>'TUSD BE'!$M$24*'TUSD BE'!$M$58</f>
        <v>-0.1576210433689833</v>
      </c>
      <c r="N24" s="25">
        <f ca="1">'TUSD BE'!$N$24*'TUSD BE'!$N$58</f>
        <v>0</v>
      </c>
      <c r="O24" s="25">
        <f>'TUSD BE'!$O$24*'TUSD BE'!$O$58</f>
        <v>0</v>
      </c>
      <c r="P24" s="25">
        <f>'TUSD BE'!$P$24*'TUSD BE'!$P$58</f>
        <v>0</v>
      </c>
      <c r="Q24" s="25">
        <f>'TUSD BE'!$Q$24*'TUSD BE'!$Q$58</f>
        <v>0</v>
      </c>
      <c r="R24" s="25">
        <f>'TUSD BE'!$R$24*'TUSD BE'!$R$58</f>
        <v>0</v>
      </c>
      <c r="S24" s="25">
        <f>'TUSD BE'!$R$24*'TUSD BE'!$S$58</f>
        <v>0</v>
      </c>
      <c r="T24" s="25">
        <f ca="1">SUM($L$24:$S$24)</f>
        <v>-0.1576210433689833</v>
      </c>
      <c r="U24" s="25">
        <f>'TUSD BE'!$U$24*'TUSD BE'!$U$58</f>
        <v>0</v>
      </c>
      <c r="V24" s="25">
        <f>'TUSD BE'!$V$24*'TUSD BE'!$V$58</f>
        <v>0</v>
      </c>
      <c r="W24" s="25">
        <f>'TUSD BE'!$W$24*'TUSD BE'!$W$58</f>
        <v>0</v>
      </c>
      <c r="X24" s="25">
        <f>'TUSD BE'!$X$24*'TUSD BE'!$X$58</f>
        <v>0</v>
      </c>
      <c r="Y24" s="25">
        <f>'TUSD BE'!$Y$24*'TUSD BE'!$Y$58</f>
        <v>91.791423122070853</v>
      </c>
      <c r="Z24" s="25">
        <f>'TUSD BE'!$Z$24*'TUSD BE'!$Z$58</f>
        <v>0</v>
      </c>
      <c r="AA24" s="25">
        <f>'TUSD BE'!$AA$24*'TUSD BE'!$AA$58</f>
        <v>0</v>
      </c>
      <c r="AB24" s="25">
        <f>SUM($U$24:$AA$24)</f>
        <v>91.791423122070853</v>
      </c>
      <c r="AC24" s="25">
        <f>'TUSD BE'!$AC$24*'TUSD BE'!$AC$58</f>
        <v>-16.644379096842702</v>
      </c>
      <c r="AD24" s="25">
        <f>SUM($AC$24:$AC$24)</f>
        <v>-16.644379096842702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BE'!$AH$58</f>
        <v>4.3371179880199549</v>
      </c>
      <c r="AI24" s="25">
        <f>'TUSD BE'!$AI$24*'TUSD BE'!$AI$58</f>
        <v>0</v>
      </c>
      <c r="AJ24" s="25">
        <f ca="1">'TUSD BE'!$AJ$24*'TUSD BE'!$AJ$58</f>
        <v>0.59232525135728331</v>
      </c>
      <c r="AK24" s="25">
        <f ca="1">'TUSD BE'!$AK$24*'TUSD BE'!$AK$58</f>
        <v>0</v>
      </c>
      <c r="AL24" s="25">
        <f ca="1">SUM($AH$24:$AK$24)</f>
        <v>4.9294432393772381</v>
      </c>
      <c r="AM24" s="25">
        <f ca="1">SUMIF($L$4:$AL$4,"SUBTOTAL",$L$24:$AL$24)</f>
        <v>79.918866221236414</v>
      </c>
      <c r="AO24" s="30">
        <f ca="1">+'TUSD BE'!$T$24+'TUSD BE'!$AB$24+'TUSD BE'!$AD$24+'TUSD BE'!$AL$24</f>
        <v>825.13455109290658</v>
      </c>
      <c r="AP24" s="30">
        <f ca="1">+'TUSD BE'!$T$24+'TUSD BE'!$AB$24+'TUSD BE'!$AD$24+'TUSD BE'!$AL$24</f>
        <v>825.13455109290658</v>
      </c>
    </row>
    <row r="25" spans="1:42" ht="11.25" customHeight="1" x14ac:dyDescent="0.3">
      <c r="A25" s="125"/>
      <c r="B25" s="125" t="s">
        <v>84</v>
      </c>
      <c r="C25" s="125" t="s">
        <v>24</v>
      </c>
      <c r="D25" s="28" t="s">
        <v>24</v>
      </c>
      <c r="E25" s="28" t="s">
        <v>25</v>
      </c>
      <c r="F25" s="28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25">
        <f>'TUSD BE'!$L$25*'TUSD BE'!$L$58</f>
        <v>0</v>
      </c>
      <c r="M25" s="25">
        <f>'TUSD BE'!$M$25*'TUSD BE'!$M$58</f>
        <v>-0.1576210433689833</v>
      </c>
      <c r="N25" s="25">
        <f ca="1">'TUSD BE'!$N$25*'TUSD BE'!$N$58</f>
        <v>0</v>
      </c>
      <c r="O25" s="25">
        <f>'TUSD BE'!$O$25*'TUSD BE'!$O$58</f>
        <v>0</v>
      </c>
      <c r="P25" s="25">
        <f>'TUSD BE'!$P$25*'TUSD BE'!$P$58</f>
        <v>0</v>
      </c>
      <c r="Q25" s="25">
        <f>'TUSD BE'!$Q$25*'TUSD BE'!$Q$58</f>
        <v>-7.5014559131386029</v>
      </c>
      <c r="R25" s="25">
        <f>'TUSD BE'!$R$25*'TUSD BE'!$R$58</f>
        <v>-0.64377302564927097</v>
      </c>
      <c r="S25" s="25">
        <f>'TUSD BE'!$R$25*'TUSD BE'!$S$58</f>
        <v>0</v>
      </c>
      <c r="T25" s="25">
        <f ca="1">SUM($L$25:$S$25)</f>
        <v>-8.3028499821568573</v>
      </c>
      <c r="U25" s="25">
        <f>'TUSD BE'!$U$25*'TUSD BE'!$U$58</f>
        <v>0</v>
      </c>
      <c r="V25" s="25">
        <f>'TUSD BE'!$V$25*'TUSD BE'!$V$58</f>
        <v>0</v>
      </c>
      <c r="W25" s="25">
        <f>'TUSD BE'!$W$25*'TUSD BE'!$W$58</f>
        <v>0</v>
      </c>
      <c r="X25" s="25">
        <f>'TUSD BE'!$X$25*'TUSD BE'!$X$58</f>
        <v>0</v>
      </c>
      <c r="Y25" s="25">
        <f>'TUSD BE'!$Y$25*'TUSD BE'!$Y$58</f>
        <v>91.791423122070853</v>
      </c>
      <c r="Z25" s="25">
        <f>'TUSD BE'!$Z$25*'TUSD BE'!$Z$58</f>
        <v>0</v>
      </c>
      <c r="AA25" s="25">
        <f>'TUSD BE'!$AA$25*'TUSD BE'!$AA$58</f>
        <v>0</v>
      </c>
      <c r="AB25" s="25">
        <f>SUM($U$25:$AA$25)</f>
        <v>91.791423122070853</v>
      </c>
      <c r="AC25" s="25">
        <f>'TUSD BE'!$AC$25*'TUSD BE'!$AC$58</f>
        <v>-16.644379096842702</v>
      </c>
      <c r="AD25" s="25">
        <f>SUM($AC$25:$AC$25)</f>
        <v>-16.644379096842702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BE'!$AH$58</f>
        <v>4.3371179880199549</v>
      </c>
      <c r="AI25" s="25">
        <f>'TUSD BE'!$AI$25*'TUSD BE'!$AI$58</f>
        <v>0</v>
      </c>
      <c r="AJ25" s="25">
        <f ca="1">'TUSD BE'!$AJ$25*'TUSD BE'!$AJ$58</f>
        <v>0.59232525135728331</v>
      </c>
      <c r="AK25" s="25">
        <f ca="1">'TUSD BE'!$AK$25*'TUSD BE'!$AK$58</f>
        <v>0</v>
      </c>
      <c r="AL25" s="25">
        <f ca="1">SUM($AH$25:$AK$25)</f>
        <v>4.9294432393772381</v>
      </c>
      <c r="AM25" s="25">
        <f ca="1">SUMIF($L$4:$AL$4,"SUBTOTAL",$L$25:$AL$25)</f>
        <v>71.773637282448533</v>
      </c>
      <c r="AO25" s="30">
        <f ca="1">+'TUSD BE'!$T$25+'TUSD BE'!$AB$25+'TUSD BE'!$AD$25+'TUSD BE'!$AL$25</f>
        <v>974.69732838639129</v>
      </c>
      <c r="AP25" s="30">
        <f ca="1">+'TUSD BE'!$T$25+'TUSD BE'!$AB$25+'TUSD BE'!$AD$25+'TUSD BE'!$AL$25</f>
        <v>974.69732838639129</v>
      </c>
    </row>
    <row r="26" spans="1:42" ht="11.25" customHeight="1" x14ac:dyDescent="0.3">
      <c r="A26" s="125"/>
      <c r="B26" s="125"/>
      <c r="C26" s="125"/>
      <c r="D26" s="28" t="s">
        <v>29</v>
      </c>
      <c r="E26" s="28" t="s">
        <v>25</v>
      </c>
      <c r="F26" s="28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25">
        <f>'TUSD BE'!$L$26*'TUSD BE'!$L$58</f>
        <v>0</v>
      </c>
      <c r="M26" s="25">
        <f>'TUSD BE'!$M$26*'TUSD BE'!$M$58</f>
        <v>-0.1576210433689833</v>
      </c>
      <c r="N26" s="25">
        <f ca="1">'TUSD BE'!$N$26*'TUSD BE'!$N$58</f>
        <v>0</v>
      </c>
      <c r="O26" s="25">
        <f>'TUSD BE'!$O$26*'TUSD BE'!$O$58</f>
        <v>0</v>
      </c>
      <c r="P26" s="25">
        <f>'TUSD BE'!$P$26*'TUSD BE'!$P$58</f>
        <v>0</v>
      </c>
      <c r="Q26" s="25">
        <f>'TUSD BE'!$Q$26*'TUSD BE'!$Q$58</f>
        <v>0</v>
      </c>
      <c r="R26" s="25">
        <f>'TUSD BE'!$R$26*'TUSD BE'!$R$58</f>
        <v>0</v>
      </c>
      <c r="S26" s="25">
        <f>'TUSD BE'!$R$26*'TUSD BE'!$S$58</f>
        <v>0</v>
      </c>
      <c r="T26" s="25">
        <f ca="1">SUM($L$26:$S$26)</f>
        <v>-0.1576210433689833</v>
      </c>
      <c r="U26" s="25">
        <f>'TUSD BE'!$U$26*'TUSD BE'!$U$58</f>
        <v>0</v>
      </c>
      <c r="V26" s="25">
        <f>'TUSD BE'!$V$26*'TUSD BE'!$V$58</f>
        <v>0</v>
      </c>
      <c r="W26" s="25">
        <f>'TUSD BE'!$W$26*'TUSD BE'!$W$58</f>
        <v>0</v>
      </c>
      <c r="X26" s="25">
        <f>'TUSD BE'!$X$26*'TUSD BE'!$X$58</f>
        <v>0</v>
      </c>
      <c r="Y26" s="25">
        <f>'TUSD BE'!$Y$26*'TUSD BE'!$Y$58</f>
        <v>91.791423122070853</v>
      </c>
      <c r="Z26" s="25">
        <f>'TUSD BE'!$Z$26*'TUSD BE'!$Z$58</f>
        <v>0</v>
      </c>
      <c r="AA26" s="25">
        <f>'TUSD BE'!$AA$26*'TUSD BE'!$AA$58</f>
        <v>0</v>
      </c>
      <c r="AB26" s="25">
        <f>SUM($U$26:$AA$26)</f>
        <v>91.791423122070853</v>
      </c>
      <c r="AC26" s="25">
        <f>'TUSD BE'!$AC$26*'TUSD BE'!$AC$58</f>
        <v>-16.644379096842702</v>
      </c>
      <c r="AD26" s="25">
        <f>SUM($AC$26:$AC$26)</f>
        <v>-16.644379096842702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BE'!$AH$58</f>
        <v>4.3371179880199549</v>
      </c>
      <c r="AI26" s="25">
        <f>'TUSD BE'!$AI$26*'TUSD BE'!$AI$58</f>
        <v>0</v>
      </c>
      <c r="AJ26" s="25">
        <f ca="1">'TUSD BE'!$AJ$26*'TUSD BE'!$AJ$58</f>
        <v>0.59232525135728331</v>
      </c>
      <c r="AK26" s="25">
        <f ca="1">'TUSD BE'!$AK$26*'TUSD BE'!$AK$58</f>
        <v>0</v>
      </c>
      <c r="AL26" s="25">
        <f ca="1">SUM($AH$26:$AK$26)</f>
        <v>4.9294432393772381</v>
      </c>
      <c r="AM26" s="25">
        <f ca="1">SUMIF($L$4:$AL$4,"SUBTOTAL",$L$26:$AL$26)</f>
        <v>79.918866221236414</v>
      </c>
      <c r="AO26" s="30">
        <f ca="1">+'TUSD BE'!$T$26+'TUSD BE'!$AB$26+'TUSD BE'!$AD$26+'TUSD BE'!$AL$26</f>
        <v>825.13455109290658</v>
      </c>
      <c r="AP26" s="30">
        <f ca="1">+'TUSD BE'!$T$26+'TUSD BE'!$AB$26+'TUSD BE'!$AD$26+'TUSD BE'!$AL$26</f>
        <v>825.13455109290658</v>
      </c>
    </row>
    <row r="27" spans="1:42" ht="11.25" customHeight="1" x14ac:dyDescent="0.3">
      <c r="A27" s="125"/>
      <c r="B27" s="125"/>
      <c r="C27" s="125"/>
      <c r="D27" s="28" t="s">
        <v>30</v>
      </c>
      <c r="E27" s="28" t="s">
        <v>25</v>
      </c>
      <c r="F27" s="28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25">
        <f>'TUSD BE'!$L$27*'TUSD BE'!$L$58</f>
        <v>0</v>
      </c>
      <c r="M27" s="25">
        <f>'TUSD BE'!$M$27*'TUSD BE'!$M$58</f>
        <v>-0.1576210433689833</v>
      </c>
      <c r="N27" s="25">
        <f ca="1">'TUSD BE'!$N$27*'TUSD BE'!$N$58</f>
        <v>0</v>
      </c>
      <c r="O27" s="25">
        <f>'TUSD BE'!$O$27*'TUSD BE'!$O$58</f>
        <v>0</v>
      </c>
      <c r="P27" s="25">
        <f>'TUSD BE'!$P$27*'TUSD BE'!$P$58</f>
        <v>0</v>
      </c>
      <c r="Q27" s="25">
        <f>'TUSD BE'!$Q$27*'TUSD BE'!$Q$58</f>
        <v>0</v>
      </c>
      <c r="R27" s="25">
        <f>'TUSD BE'!$R$27*'TUSD BE'!$R$58</f>
        <v>0</v>
      </c>
      <c r="S27" s="25">
        <f>'TUSD BE'!$R$27*'TUSD BE'!$S$58</f>
        <v>0</v>
      </c>
      <c r="T27" s="25">
        <f ca="1">SUM($L$27:$S$27)</f>
        <v>-0.1576210433689833</v>
      </c>
      <c r="U27" s="25">
        <f>'TUSD BE'!$U$27*'TUSD BE'!$U$58</f>
        <v>0</v>
      </c>
      <c r="V27" s="25">
        <f>'TUSD BE'!$V$27*'TUSD BE'!$V$58</f>
        <v>0</v>
      </c>
      <c r="W27" s="25">
        <f>'TUSD BE'!$W$27*'TUSD BE'!$W$58</f>
        <v>0</v>
      </c>
      <c r="X27" s="25">
        <f>'TUSD BE'!$X$27*'TUSD BE'!$X$58</f>
        <v>0</v>
      </c>
      <c r="Y27" s="25">
        <f>'TUSD BE'!$Y$27*'TUSD BE'!$Y$58</f>
        <v>91.791423122070853</v>
      </c>
      <c r="Z27" s="25">
        <f>'TUSD BE'!$Z$27*'TUSD BE'!$Z$58</f>
        <v>0</v>
      </c>
      <c r="AA27" s="25">
        <f>'TUSD BE'!$AA$27*'TUSD BE'!$AA$58</f>
        <v>0</v>
      </c>
      <c r="AB27" s="25">
        <f>SUM($U$27:$AA$27)</f>
        <v>91.791423122070853</v>
      </c>
      <c r="AC27" s="25">
        <f>'TUSD BE'!$AC$27*'TUSD BE'!$AC$58</f>
        <v>-16.644379096842702</v>
      </c>
      <c r="AD27" s="25">
        <f>SUM($AC$27:$AC$27)</f>
        <v>-16.644379096842702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BE'!$AH$58</f>
        <v>4.3371179880199549</v>
      </c>
      <c r="AI27" s="25">
        <f>'TUSD BE'!$AI$27*'TUSD BE'!$AI$58</f>
        <v>0</v>
      </c>
      <c r="AJ27" s="25">
        <f ca="1">'TUSD BE'!$AJ$27*'TUSD BE'!$AJ$58</f>
        <v>0.59232525135728331</v>
      </c>
      <c r="AK27" s="25">
        <f ca="1">'TUSD BE'!$AK$27*'TUSD BE'!$AK$58</f>
        <v>0</v>
      </c>
      <c r="AL27" s="25">
        <f ca="1">SUM($AH$27:$AK$27)</f>
        <v>4.9294432393772381</v>
      </c>
      <c r="AM27" s="25">
        <f ca="1">SUMIF($L$4:$AL$4,"SUBTOTAL",$L$27:$AL$27)</f>
        <v>79.918866221236414</v>
      </c>
      <c r="AO27" s="30">
        <f ca="1">+'TUSD BE'!$T$27+'TUSD BE'!$AB$27+'TUSD BE'!$AD$27+'TUSD BE'!$AL$27</f>
        <v>825.13455109290658</v>
      </c>
      <c r="AP27" s="30">
        <f ca="1">+'TUSD BE'!$T$27+'TUSD BE'!$AB$27+'TUSD BE'!$AD$27+'TUSD BE'!$AL$27</f>
        <v>825.13455109290658</v>
      </c>
    </row>
    <row r="28" spans="1:42" ht="11.25" customHeight="1" x14ac:dyDescent="0.3">
      <c r="A28" s="125"/>
      <c r="B28" s="125"/>
      <c r="C28" s="125"/>
      <c r="D28" s="28" t="s">
        <v>31</v>
      </c>
      <c r="E28" s="28" t="s">
        <v>25</v>
      </c>
      <c r="F28" s="28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25">
        <f>'TUSD BE'!$L$28*'TUSD BE'!$L$58</f>
        <v>0</v>
      </c>
      <c r="M28" s="25">
        <f>'TUSD BE'!$M$28*'TUSD BE'!$M$58</f>
        <v>-0.1576210433689833</v>
      </c>
      <c r="N28" s="25">
        <f ca="1">'TUSD BE'!$N$28*'TUSD BE'!$N$58</f>
        <v>0</v>
      </c>
      <c r="O28" s="25">
        <f>'TUSD BE'!$O$28*'TUSD BE'!$O$58</f>
        <v>0</v>
      </c>
      <c r="P28" s="25">
        <f>'TUSD BE'!$P$28*'TUSD BE'!$P$58</f>
        <v>0</v>
      </c>
      <c r="Q28" s="25">
        <f>'TUSD BE'!$Q$28*'TUSD BE'!$Q$58</f>
        <v>0</v>
      </c>
      <c r="R28" s="25">
        <f>'TUSD BE'!$R$28*'TUSD BE'!$R$58</f>
        <v>0</v>
      </c>
      <c r="S28" s="25">
        <f>'TUSD BE'!$R$28*'TUSD BE'!$S$58</f>
        <v>0</v>
      </c>
      <c r="T28" s="25">
        <f ca="1">SUM($L$28:$S$28)</f>
        <v>-0.1576210433689833</v>
      </c>
      <c r="U28" s="25">
        <f>'TUSD BE'!$U$28*'TUSD BE'!$U$58</f>
        <v>0</v>
      </c>
      <c r="V28" s="25">
        <f>'TUSD BE'!$V$28*'TUSD BE'!$V$58</f>
        <v>0</v>
      </c>
      <c r="W28" s="25">
        <f>'TUSD BE'!$W$28*'TUSD BE'!$W$58</f>
        <v>0</v>
      </c>
      <c r="X28" s="25">
        <f>'TUSD BE'!$X$28*'TUSD BE'!$X$58</f>
        <v>0</v>
      </c>
      <c r="Y28" s="25">
        <f>'TUSD BE'!$Y$28*'TUSD BE'!$Y$58</f>
        <v>91.791423122070853</v>
      </c>
      <c r="Z28" s="25">
        <f>'TUSD BE'!$Z$28*'TUSD BE'!$Z$58</f>
        <v>0</v>
      </c>
      <c r="AA28" s="25">
        <f>'TUSD BE'!$AA$28*'TUSD BE'!$AA$58</f>
        <v>0</v>
      </c>
      <c r="AB28" s="25">
        <f>SUM($U$28:$AA$28)</f>
        <v>91.791423122070853</v>
      </c>
      <c r="AC28" s="25">
        <f>'TUSD BE'!$AC$28*'TUSD BE'!$AC$58</f>
        <v>-16.644379096842702</v>
      </c>
      <c r="AD28" s="25">
        <f>SUM($AC$28:$AC$28)</f>
        <v>-16.644379096842702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BE'!$AH$58</f>
        <v>4.3371179880199549</v>
      </c>
      <c r="AI28" s="25">
        <f>'TUSD BE'!$AI$28*'TUSD BE'!$AI$58</f>
        <v>0</v>
      </c>
      <c r="AJ28" s="25">
        <f ca="1">'TUSD BE'!$AJ$28*'TUSD BE'!$AJ$58</f>
        <v>0.59232525135728331</v>
      </c>
      <c r="AK28" s="25">
        <f ca="1">'TUSD BE'!$AK$28*'TUSD BE'!$AK$58</f>
        <v>0</v>
      </c>
      <c r="AL28" s="25">
        <f ca="1">SUM($AH$28:$AK$28)</f>
        <v>4.9294432393772381</v>
      </c>
      <c r="AM28" s="25">
        <f ca="1">SUMIF($L$4:$AL$4,"SUBTOTAL",$L$28:$AL$28)</f>
        <v>79.918866221236414</v>
      </c>
      <c r="AO28" s="30">
        <f ca="1">+'TUSD BE'!$T$28+'TUSD BE'!$AB$28+'TUSD BE'!$AD$28+'TUSD BE'!$AL$28</f>
        <v>825.13455109290658</v>
      </c>
      <c r="AP28" s="30">
        <f ca="1">+'TUSD BE'!$T$28+'TUSD BE'!$AB$28+'TUSD BE'!$AD$28+'TUSD BE'!$AL$28</f>
        <v>825.13455109290658</v>
      </c>
    </row>
    <row r="29" spans="1:42" ht="11.25" customHeight="1" x14ac:dyDescent="0.3">
      <c r="A29" s="125"/>
      <c r="B29" s="125"/>
      <c r="C29" s="125"/>
      <c r="D29" s="28" t="s">
        <v>32</v>
      </c>
      <c r="E29" s="28" t="s">
        <v>25</v>
      </c>
      <c r="F29" s="28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25">
        <f>'TUSD BE'!$L$29*'TUSD BE'!$L$58</f>
        <v>0</v>
      </c>
      <c r="M29" s="25">
        <f>'TUSD BE'!$M$29*'TUSD BE'!$M$58</f>
        <v>-0.1576210433689833</v>
      </c>
      <c r="N29" s="25">
        <f ca="1">'TUSD BE'!$N$29*'TUSD BE'!$N$58</f>
        <v>0</v>
      </c>
      <c r="O29" s="25">
        <f>'TUSD BE'!$O$29*'TUSD BE'!$O$58</f>
        <v>0</v>
      </c>
      <c r="P29" s="25">
        <f>'TUSD BE'!$P$29*'TUSD BE'!$P$58</f>
        <v>0</v>
      </c>
      <c r="Q29" s="25">
        <f>'TUSD BE'!$Q$29*'TUSD BE'!$Q$58</f>
        <v>0</v>
      </c>
      <c r="R29" s="25">
        <f>'TUSD BE'!$R$29*'TUSD BE'!$R$58</f>
        <v>0</v>
      </c>
      <c r="S29" s="25">
        <f>'TUSD BE'!$R$29*'TUSD BE'!$S$58</f>
        <v>0</v>
      </c>
      <c r="T29" s="25">
        <f ca="1">SUM($L$29:$S$29)</f>
        <v>-0.1576210433689833</v>
      </c>
      <c r="U29" s="25">
        <f>'TUSD BE'!$U$29*'TUSD BE'!$U$58</f>
        <v>0</v>
      </c>
      <c r="V29" s="25">
        <f>'TUSD BE'!$V$29*'TUSD BE'!$V$58</f>
        <v>0</v>
      </c>
      <c r="W29" s="25">
        <f>'TUSD BE'!$W$29*'TUSD BE'!$W$58</f>
        <v>0</v>
      </c>
      <c r="X29" s="25">
        <f>'TUSD BE'!$X$29*'TUSD BE'!$X$58</f>
        <v>0</v>
      </c>
      <c r="Y29" s="25">
        <f>'TUSD BE'!$Y$29*'TUSD BE'!$Y$58</f>
        <v>91.791423122070853</v>
      </c>
      <c r="Z29" s="25">
        <f>'TUSD BE'!$Z$29*'TUSD BE'!$Z$58</f>
        <v>0</v>
      </c>
      <c r="AA29" s="25">
        <f>'TUSD BE'!$AA$29*'TUSD BE'!$AA$58</f>
        <v>0</v>
      </c>
      <c r="AB29" s="25">
        <f>SUM($U$29:$AA$29)</f>
        <v>91.791423122070853</v>
      </c>
      <c r="AC29" s="25">
        <f>'TUSD BE'!$AC$29*'TUSD BE'!$AC$58</f>
        <v>-16.644379096842702</v>
      </c>
      <c r="AD29" s="25">
        <f>SUM($AC$29:$AC$29)</f>
        <v>-16.644379096842702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BE'!$AH$58</f>
        <v>4.3371179880199549</v>
      </c>
      <c r="AI29" s="25">
        <f>'TUSD BE'!$AI$29*'TUSD BE'!$AI$58</f>
        <v>0</v>
      </c>
      <c r="AJ29" s="25">
        <f ca="1">'TUSD BE'!$AJ$29*'TUSD BE'!$AJ$58</f>
        <v>0.59232525135728331</v>
      </c>
      <c r="AK29" s="25">
        <f ca="1">'TUSD BE'!$AK$29*'TUSD BE'!$AK$58</f>
        <v>0</v>
      </c>
      <c r="AL29" s="25">
        <f ca="1">SUM($AH$29:$AK$29)</f>
        <v>4.9294432393772381</v>
      </c>
      <c r="AM29" s="25">
        <f ca="1">SUMIF($L$4:$AL$4,"SUBTOTAL",$L$29:$AL$29)</f>
        <v>79.918866221236414</v>
      </c>
      <c r="AO29" s="30">
        <f ca="1">+'TUSD BE'!$T$29+'TUSD BE'!$AB$29+'TUSD BE'!$AD$29+'TUSD BE'!$AL$29</f>
        <v>825.13455109290658</v>
      </c>
      <c r="AP29" s="30">
        <f ca="1">+'TUSD BE'!$T$29+'TUSD BE'!$AB$29+'TUSD BE'!$AD$29+'TUSD BE'!$AL$29</f>
        <v>825.13455109290658</v>
      </c>
    </row>
    <row r="30" spans="1:42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25">
        <f>'TUSD BE'!$L$30*'TUSD BE'!$L$58</f>
        <v>0</v>
      </c>
      <c r="M30" s="25">
        <f>'TUSD BE'!$M$30*'TUSD BE'!$M$58</f>
        <v>-0.1576210433689833</v>
      </c>
      <c r="N30" s="25">
        <f ca="1">'TUSD BE'!$N$30*'TUSD BE'!$N$58</f>
        <v>0</v>
      </c>
      <c r="O30" s="25">
        <f>'TUSD BE'!$O$30*'TUSD BE'!$O$58</f>
        <v>0</v>
      </c>
      <c r="P30" s="25">
        <f>'TUSD BE'!$P$30*'TUSD BE'!$P$58</f>
        <v>0</v>
      </c>
      <c r="Q30" s="25">
        <f>'TUSD BE'!$Q$30*'TUSD BE'!$Q$58</f>
        <v>-7.5014559131386029</v>
      </c>
      <c r="R30" s="25">
        <f>'TUSD BE'!$R$30*'TUSD BE'!$R$58</f>
        <v>-0.64377302564927097</v>
      </c>
      <c r="S30" s="25">
        <f>'TUSD BE'!$R$30*'TUSD BE'!$S$58</f>
        <v>0</v>
      </c>
      <c r="T30" s="25">
        <f ca="1">SUM($L$30:$S$30)</f>
        <v>-8.3028499821568573</v>
      </c>
      <c r="U30" s="25">
        <f>'TUSD BE'!$U$30*'TUSD BE'!$U$58</f>
        <v>0</v>
      </c>
      <c r="V30" s="25">
        <f>'TUSD BE'!$V$30*'TUSD BE'!$V$58</f>
        <v>0</v>
      </c>
      <c r="W30" s="25">
        <f>'TUSD BE'!$W$30*'TUSD BE'!$W$58</f>
        <v>0</v>
      </c>
      <c r="X30" s="25">
        <f>'TUSD BE'!$X$30*'TUSD BE'!$X$58</f>
        <v>0</v>
      </c>
      <c r="Y30" s="25">
        <f>'TUSD BE'!$Y$30*'TUSD BE'!$Y$58</f>
        <v>275.37390795932208</v>
      </c>
      <c r="Z30" s="25">
        <f>'TUSD BE'!$Z$30*'TUSD BE'!$Z$58</f>
        <v>0</v>
      </c>
      <c r="AA30" s="25">
        <f>'TUSD BE'!$AA$30*'TUSD BE'!$AA$58</f>
        <v>0</v>
      </c>
      <c r="AB30" s="25">
        <f>SUM($U$30:$AA$30)</f>
        <v>275.37390795932208</v>
      </c>
      <c r="AC30" s="25">
        <f>'TUSD BE'!$AC$30*'TUSD BE'!$AC$58</f>
        <v>-49.933140922793228</v>
      </c>
      <c r="AD30" s="25">
        <f>SUM($AC$30:$AC$30)</f>
        <v>-49.933140922793228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BE'!$AH$58</f>
        <v>4.3371179880199549</v>
      </c>
      <c r="AI30" s="25">
        <f>'TUSD BE'!$AI$30*'TUSD BE'!$AI$58</f>
        <v>0</v>
      </c>
      <c r="AJ30" s="25">
        <f ca="1">'TUSD BE'!$AJ$30*'TUSD BE'!$AJ$58</f>
        <v>0.59232525135728331</v>
      </c>
      <c r="AK30" s="25">
        <f ca="1">'TUSD BE'!$AK$30*'TUSD BE'!$AK$58</f>
        <v>0</v>
      </c>
      <c r="AL30" s="25">
        <f ca="1">SUM($AH$30:$AK$30)</f>
        <v>4.9294432393772381</v>
      </c>
      <c r="AM30" s="25">
        <f ca="1">SUMIF($L$4:$AL$4,"SUBTOTAL",$L$30:$AL$30)</f>
        <v>222.0673602937492</v>
      </c>
      <c r="AO30" s="30">
        <f ca="1">+'TUSD BE'!$T$30+'TUSD BE'!$AB$30+'TUSD BE'!$AD$30+'TUSD BE'!$AL$30</f>
        <v>2578.3971762037763</v>
      </c>
      <c r="AP30" s="30">
        <f ca="1">+'TUSD BE'!$T$30+'TUSD BE'!$AB$30+'TUSD BE'!$AD$30+'TUSD BE'!$AL$30</f>
        <v>2578.3971762037763</v>
      </c>
    </row>
    <row r="31" spans="1:42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25">
        <f>'TUSD BE'!$L$31*'TUSD BE'!$L$58</f>
        <v>0</v>
      </c>
      <c r="M31" s="25">
        <f>'TUSD BE'!$M$31*'TUSD BE'!$M$58</f>
        <v>-0.1576210433689833</v>
      </c>
      <c r="N31" s="25">
        <f ca="1">'TUSD BE'!$N$31*'TUSD BE'!$N$58</f>
        <v>0</v>
      </c>
      <c r="O31" s="25">
        <f>'TUSD BE'!$O$31*'TUSD BE'!$O$58</f>
        <v>0</v>
      </c>
      <c r="P31" s="25">
        <f>'TUSD BE'!$P$31*'TUSD BE'!$P$58</f>
        <v>0</v>
      </c>
      <c r="Q31" s="25">
        <f>'TUSD BE'!$Q$31*'TUSD BE'!$Q$58</f>
        <v>-7.5014559131386029</v>
      </c>
      <c r="R31" s="25">
        <f>'TUSD BE'!$R$31*'TUSD BE'!$R$58</f>
        <v>-0.64377302564927097</v>
      </c>
      <c r="S31" s="25">
        <f>'TUSD BE'!$R$31*'TUSD BE'!$S$58</f>
        <v>0</v>
      </c>
      <c r="T31" s="25">
        <f ca="1">SUM($L$31:$S$31)</f>
        <v>-8.3028499821568573</v>
      </c>
      <c r="U31" s="25">
        <f>'TUSD BE'!$U$31*'TUSD BE'!$U$58</f>
        <v>0</v>
      </c>
      <c r="V31" s="25">
        <f>'TUSD BE'!$V$31*'TUSD BE'!$V$58</f>
        <v>0</v>
      </c>
      <c r="W31" s="25">
        <f>'TUSD BE'!$W$31*'TUSD BE'!$W$58</f>
        <v>0</v>
      </c>
      <c r="X31" s="25">
        <f>'TUSD BE'!$X$31*'TUSD BE'!$X$58</f>
        <v>0</v>
      </c>
      <c r="Y31" s="25">
        <f>'TUSD BE'!$Y$31*'TUSD BE'!$Y$58</f>
        <v>165.22380989339524</v>
      </c>
      <c r="Z31" s="25">
        <f>'TUSD BE'!$Z$31*'TUSD BE'!$Z$58</f>
        <v>0</v>
      </c>
      <c r="AA31" s="25">
        <f>'TUSD BE'!$AA$31*'TUSD BE'!$AA$58</f>
        <v>0</v>
      </c>
      <c r="AB31" s="25">
        <f>SUM($U$31:$AA$31)</f>
        <v>165.22380989339524</v>
      </c>
      <c r="AC31" s="25">
        <f>'TUSD BE'!$AC$31*'TUSD BE'!$AC$58</f>
        <v>-29.959885280128958</v>
      </c>
      <c r="AD31" s="25">
        <f>SUM($AC$31:$AC$31)</f>
        <v>-29.959885280128958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BE'!$AH$58</f>
        <v>4.3371179880199549</v>
      </c>
      <c r="AI31" s="25">
        <f>'TUSD BE'!$AI$31*'TUSD BE'!$AI$58</f>
        <v>0</v>
      </c>
      <c r="AJ31" s="25">
        <f ca="1">'TUSD BE'!$AJ$31*'TUSD BE'!$AJ$58</f>
        <v>0.59232525135728331</v>
      </c>
      <c r="AK31" s="25">
        <f ca="1">'TUSD BE'!$AK$31*'TUSD BE'!$AK$58</f>
        <v>0</v>
      </c>
      <c r="AL31" s="25">
        <f ca="1">SUM($AH$31:$AK$31)</f>
        <v>4.9294432393772381</v>
      </c>
      <c r="AM31" s="25">
        <f ca="1">SUMIF($L$4:$AL$4,"SUBTOTAL",$L$31:$AL$31)</f>
        <v>131.89051787048666</v>
      </c>
      <c r="AO31" s="30">
        <f ca="1">+'TUSD BE'!$T$31+'TUSD BE'!$AB$31+'TUSD BE'!$AD$31+'TUSD BE'!$AL$31</f>
        <v>1616.1753664562782</v>
      </c>
      <c r="AP31" s="30">
        <f ca="1">+'TUSD BE'!$T$31+'TUSD BE'!$AB$31+'TUSD BE'!$AD$31+'TUSD BE'!$AL$31</f>
        <v>1616.1753664562782</v>
      </c>
    </row>
    <row r="32" spans="1:42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25">
        <f>'TUSD BE'!$L$32*'TUSD BE'!$L$58</f>
        <v>0</v>
      </c>
      <c r="M32" s="25">
        <f>'TUSD BE'!$M$32*'TUSD BE'!$M$58</f>
        <v>-0.1576210433689833</v>
      </c>
      <c r="N32" s="25">
        <f ca="1">'TUSD BE'!$N$32*'TUSD BE'!$N$58</f>
        <v>0</v>
      </c>
      <c r="O32" s="25">
        <f>'TUSD BE'!$O$32*'TUSD BE'!$O$58</f>
        <v>0</v>
      </c>
      <c r="P32" s="25">
        <f>'TUSD BE'!$P$32*'TUSD BE'!$P$58</f>
        <v>0</v>
      </c>
      <c r="Q32" s="25">
        <f>'TUSD BE'!$Q$32*'TUSD BE'!$Q$58</f>
        <v>-7.5014559131386029</v>
      </c>
      <c r="R32" s="25">
        <f>'TUSD BE'!$R$32*'TUSD BE'!$R$58</f>
        <v>-0.64377302564927097</v>
      </c>
      <c r="S32" s="25">
        <f>'TUSD BE'!$R$32*'TUSD BE'!$S$58</f>
        <v>0</v>
      </c>
      <c r="T32" s="25">
        <f ca="1">SUM($L$32:$S$32)</f>
        <v>-8.3028499821568573</v>
      </c>
      <c r="U32" s="25">
        <f>'TUSD BE'!$U$32*'TUSD BE'!$U$58</f>
        <v>0</v>
      </c>
      <c r="V32" s="25">
        <f>'TUSD BE'!$V$32*'TUSD BE'!$V$58</f>
        <v>0</v>
      </c>
      <c r="W32" s="25">
        <f>'TUSD BE'!$W$32*'TUSD BE'!$W$58</f>
        <v>0</v>
      </c>
      <c r="X32" s="25">
        <f>'TUSD BE'!$X$32*'TUSD BE'!$X$58</f>
        <v>0</v>
      </c>
      <c r="Y32" s="25">
        <f>'TUSD BE'!$Y$32*'TUSD BE'!$Y$58</f>
        <v>55.075012892274351</v>
      </c>
      <c r="Z32" s="25">
        <f>'TUSD BE'!$Z$32*'TUSD BE'!$Z$58</f>
        <v>0</v>
      </c>
      <c r="AA32" s="25">
        <f>'TUSD BE'!$AA$32*'TUSD BE'!$AA$58</f>
        <v>0</v>
      </c>
      <c r="AB32" s="25">
        <f>SUM($U$32:$AA$32)</f>
        <v>55.075012892274351</v>
      </c>
      <c r="AC32" s="25">
        <f>'TUSD BE'!$AC$32*'TUSD BE'!$AC$58</f>
        <v>-9.9866332697298148</v>
      </c>
      <c r="AD32" s="25">
        <f>SUM($AC$32:$AC$32)</f>
        <v>-9.9866332697298148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BE'!$AH$58</f>
        <v>4.3371179880199549</v>
      </c>
      <c r="AI32" s="25">
        <f>'TUSD BE'!$AI$32*'TUSD BE'!$AI$58</f>
        <v>0</v>
      </c>
      <c r="AJ32" s="25">
        <f ca="1">'TUSD BE'!$AJ$32*'TUSD BE'!$AJ$58</f>
        <v>0.59232525135728331</v>
      </c>
      <c r="AK32" s="25">
        <f ca="1">'TUSD BE'!$AK$32*'TUSD BE'!$AK$58</f>
        <v>0</v>
      </c>
      <c r="AL32" s="25">
        <f ca="1">SUM($AH$32:$AK$32)</f>
        <v>4.9294432393772381</v>
      </c>
      <c r="AM32" s="25">
        <f ca="1">SUMIF($L$4:$AL$4,"SUBTOTAL",$L$32:$AL$32)</f>
        <v>41.714972879764915</v>
      </c>
      <c r="AO32" s="30">
        <f ca="1">+'TUSD BE'!$T$32+'TUSD BE'!$AB$32+'TUSD BE'!$AD$32+'TUSD BE'!$AL$32</f>
        <v>653.95783618211112</v>
      </c>
      <c r="AP32" s="30">
        <f ca="1">+'TUSD BE'!$T$32+'TUSD BE'!$AB$32+'TUSD BE'!$AD$32+'TUSD BE'!$AL$32</f>
        <v>653.95783618211112</v>
      </c>
    </row>
    <row r="33" spans="1:42" ht="11.25" customHeight="1" x14ac:dyDescent="0.3">
      <c r="A33" s="125"/>
      <c r="B33" s="28" t="s">
        <v>23</v>
      </c>
      <c r="C33" s="28" t="s">
        <v>41</v>
      </c>
      <c r="D33" s="28" t="s">
        <v>25</v>
      </c>
      <c r="E33" s="28" t="s">
        <v>25</v>
      </c>
      <c r="F33" s="28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25">
        <f>'TUSD BE'!$L$33*'TUSD BE'!$L$58</f>
        <v>0</v>
      </c>
      <c r="M33" s="25">
        <f>'TUSD BE'!$M$33*'TUSD BE'!$M$58</f>
        <v>-0.1576210433689833</v>
      </c>
      <c r="N33" s="25">
        <f ca="1">'TUSD BE'!$N$33*'TUSD BE'!$N$58</f>
        <v>0</v>
      </c>
      <c r="O33" s="25">
        <f>'TUSD BE'!$O$33*'TUSD BE'!$O$58</f>
        <v>0</v>
      </c>
      <c r="P33" s="25">
        <f>'TUSD BE'!$P$33*'TUSD BE'!$P$58</f>
        <v>0</v>
      </c>
      <c r="Q33" s="25">
        <f>'TUSD BE'!$Q$33*'TUSD BE'!$Q$58</f>
        <v>-7.5014559131386029</v>
      </c>
      <c r="R33" s="25">
        <f>'TUSD BE'!$R$33*'TUSD BE'!$R$58</f>
        <v>-0.64377302564927097</v>
      </c>
      <c r="S33" s="25">
        <f>'TUSD BE'!$R$33*'TUSD BE'!$S$58</f>
        <v>0</v>
      </c>
      <c r="T33" s="25">
        <f ca="1">SUM($L$33:$S$33)</f>
        <v>-8.3028499821568573</v>
      </c>
      <c r="U33" s="25">
        <f>'TUSD BE'!$U$33*'TUSD BE'!$U$58</f>
        <v>0</v>
      </c>
      <c r="V33" s="25">
        <f>'TUSD BE'!$V$33*'TUSD BE'!$V$58</f>
        <v>0</v>
      </c>
      <c r="W33" s="25">
        <f>'TUSD BE'!$W$33*'TUSD BE'!$W$58</f>
        <v>0</v>
      </c>
      <c r="X33" s="25">
        <f>'TUSD BE'!$X$33*'TUSD BE'!$X$58</f>
        <v>0</v>
      </c>
      <c r="Y33" s="25">
        <f>'TUSD BE'!$Y$33*'TUSD BE'!$Y$58</f>
        <v>91.791423122070853</v>
      </c>
      <c r="Z33" s="25">
        <f>'TUSD BE'!$Z$33*'TUSD BE'!$Z$58</f>
        <v>0</v>
      </c>
      <c r="AA33" s="25">
        <f>'TUSD BE'!$AA$33*'TUSD BE'!$AA$58</f>
        <v>0</v>
      </c>
      <c r="AB33" s="25">
        <f>SUM($U$33:$AA$33)</f>
        <v>91.791423122070853</v>
      </c>
      <c r="AC33" s="25">
        <f>'TUSD BE'!$AC$33*'TUSD BE'!$AC$58</f>
        <v>-16.644379096842702</v>
      </c>
      <c r="AD33" s="25">
        <f>SUM($AC$33:$AC$33)</f>
        <v>-16.644379096842702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BE'!$AH$58</f>
        <v>4.3371179880199549</v>
      </c>
      <c r="AI33" s="25">
        <f>'TUSD BE'!$AI$33*'TUSD BE'!$AI$58</f>
        <v>0</v>
      </c>
      <c r="AJ33" s="25">
        <f ca="1">'TUSD BE'!$AJ$33*'TUSD BE'!$AJ$58</f>
        <v>0.59232525135728331</v>
      </c>
      <c r="AK33" s="25">
        <f ca="1">'TUSD BE'!$AK$33*'TUSD BE'!$AK$58</f>
        <v>0</v>
      </c>
      <c r="AL33" s="25">
        <f ca="1">SUM($AH$33:$AK$33)</f>
        <v>4.9294432393772381</v>
      </c>
      <c r="AM33" s="25">
        <f ca="1">SUMIF($L$4:$AL$4,"SUBTOTAL",$L$33:$AL$33)</f>
        <v>71.773637282448533</v>
      </c>
      <c r="AO33" s="30">
        <f ca="1">+'TUSD BE'!$T$33+'TUSD BE'!$AB$33+'TUSD BE'!$AD$33+'TUSD BE'!$AL$33</f>
        <v>974.69732838639129</v>
      </c>
      <c r="AP33" s="30">
        <f ca="1">+'TUSD BE'!$T$33+'TUSD BE'!$AB$33+'TUSD BE'!$AD$33+'TUSD BE'!$AL$33</f>
        <v>974.69732838639129</v>
      </c>
    </row>
    <row r="34" spans="1:42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25">
        <f>'TUSD BE'!$L$34*'TUSD BE'!$L$58</f>
        <v>0</v>
      </c>
      <c r="M34" s="25">
        <f>'TUSD BE'!$M$34*'TUSD BE'!$M$58</f>
        <v>-0.1576210433689833</v>
      </c>
      <c r="N34" s="25">
        <f ca="1">'TUSD BE'!$N$34*'TUSD BE'!$N$58</f>
        <v>0</v>
      </c>
      <c r="O34" s="25">
        <f>'TUSD BE'!$O$34*'TUSD BE'!$O$58</f>
        <v>0</v>
      </c>
      <c r="P34" s="25">
        <f>'TUSD BE'!$P$34*'TUSD BE'!$P$58</f>
        <v>0</v>
      </c>
      <c r="Q34" s="25">
        <f>'TUSD BE'!$Q$34*'TUSD BE'!$Q$58</f>
        <v>-7.5014559131386029</v>
      </c>
      <c r="R34" s="25">
        <f>'TUSD BE'!$R$34*'TUSD BE'!$R$58</f>
        <v>-0.64377302564927097</v>
      </c>
      <c r="S34" s="25">
        <f>'TUSD BE'!$R$34*'TUSD BE'!$S$58</f>
        <v>0</v>
      </c>
      <c r="T34" s="25">
        <f ca="1">SUM($L$34:$S$34)</f>
        <v>-8.3028499821568573</v>
      </c>
      <c r="U34" s="25">
        <f>'TUSD BE'!$U$34*'TUSD BE'!$U$58</f>
        <v>0</v>
      </c>
      <c r="V34" s="25">
        <f>'TUSD BE'!$V$34*'TUSD BE'!$V$58</f>
        <v>0</v>
      </c>
      <c r="W34" s="25">
        <f>'TUSD BE'!$W$34*'TUSD BE'!$W$58</f>
        <v>0</v>
      </c>
      <c r="X34" s="25">
        <f>'TUSD BE'!$X$34*'TUSD BE'!$X$58</f>
        <v>0</v>
      </c>
      <c r="Y34" s="25">
        <f>'TUSD BE'!$Y$34*'TUSD BE'!$Y$58</f>
        <v>275.37390795932208</v>
      </c>
      <c r="Z34" s="25">
        <f>'TUSD BE'!$Z$34*'TUSD BE'!$Z$58</f>
        <v>0</v>
      </c>
      <c r="AA34" s="25">
        <f>'TUSD BE'!$AA$34*'TUSD BE'!$AA$58</f>
        <v>0</v>
      </c>
      <c r="AB34" s="25">
        <f>SUM($U$34:$AA$34)</f>
        <v>275.37390795932208</v>
      </c>
      <c r="AC34" s="25">
        <f>'TUSD BE'!$AC$34*'TUSD BE'!$AC$58</f>
        <v>-49.933140922793228</v>
      </c>
      <c r="AD34" s="25">
        <f>SUM($AC$34:$AC$34)</f>
        <v>-49.933140922793228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BE'!$AH$58</f>
        <v>4.3371179880199549</v>
      </c>
      <c r="AI34" s="25">
        <f>'TUSD BE'!$AI$34*'TUSD BE'!$AI$58</f>
        <v>0</v>
      </c>
      <c r="AJ34" s="25">
        <f ca="1">'TUSD BE'!$AJ$34*'TUSD BE'!$AJ$58</f>
        <v>0.59232525135728331</v>
      </c>
      <c r="AK34" s="25">
        <f ca="1">'TUSD BE'!$AK$34*'TUSD BE'!$AK$58</f>
        <v>0</v>
      </c>
      <c r="AL34" s="25">
        <f ca="1">SUM($AH$34:$AK$34)</f>
        <v>4.9294432393772381</v>
      </c>
      <c r="AM34" s="25">
        <f ca="1">SUMIF($L$4:$AL$4,"SUBTOTAL",$L$34:$AL$34)</f>
        <v>222.0673602937492</v>
      </c>
      <c r="AO34" s="30">
        <f ca="1">+'TUSD BE'!$T$34+'TUSD BE'!$AB$34+'TUSD BE'!$AD$34+'TUSD BE'!$AL$34</f>
        <v>2578.3971762037763</v>
      </c>
      <c r="AP34" s="30">
        <f ca="1">+'TUSD BE'!$T$34+'TUSD BE'!$AB$34+'TUSD BE'!$AD$34+'TUSD BE'!$AL$34</f>
        <v>2578.3971762037763</v>
      </c>
    </row>
    <row r="35" spans="1:42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25">
        <f>'TUSD BE'!$L$35*'TUSD BE'!$L$58</f>
        <v>0</v>
      </c>
      <c r="M35" s="25">
        <f>'TUSD BE'!$M$35*'TUSD BE'!$M$58</f>
        <v>-0.1576210433689833</v>
      </c>
      <c r="N35" s="25">
        <f ca="1">'TUSD BE'!$N$35*'TUSD BE'!$N$58</f>
        <v>0</v>
      </c>
      <c r="O35" s="25">
        <f>'TUSD BE'!$O$35*'TUSD BE'!$O$58</f>
        <v>0</v>
      </c>
      <c r="P35" s="25">
        <f>'TUSD BE'!$P$35*'TUSD BE'!$P$58</f>
        <v>0</v>
      </c>
      <c r="Q35" s="25">
        <f>'TUSD BE'!$Q$35*'TUSD BE'!$Q$58</f>
        <v>-7.5014559131386029</v>
      </c>
      <c r="R35" s="25">
        <f>'TUSD BE'!$R$35*'TUSD BE'!$R$58</f>
        <v>-0.64377302564927097</v>
      </c>
      <c r="S35" s="25">
        <f>'TUSD BE'!$R$35*'TUSD BE'!$S$58</f>
        <v>0</v>
      </c>
      <c r="T35" s="25">
        <f ca="1">SUM($L$35:$S$35)</f>
        <v>-8.3028499821568573</v>
      </c>
      <c r="U35" s="25">
        <f>'TUSD BE'!$U$35*'TUSD BE'!$U$58</f>
        <v>0</v>
      </c>
      <c r="V35" s="25">
        <f>'TUSD BE'!$V$35*'TUSD BE'!$V$58</f>
        <v>0</v>
      </c>
      <c r="W35" s="25">
        <f>'TUSD BE'!$W$35*'TUSD BE'!$W$58</f>
        <v>0</v>
      </c>
      <c r="X35" s="25">
        <f>'TUSD BE'!$X$35*'TUSD BE'!$X$58</f>
        <v>0</v>
      </c>
      <c r="Y35" s="25">
        <f>'TUSD BE'!$Y$35*'TUSD BE'!$Y$58</f>
        <v>165.22380989339524</v>
      </c>
      <c r="Z35" s="25">
        <f>'TUSD BE'!$Z$35*'TUSD BE'!$Z$58</f>
        <v>0</v>
      </c>
      <c r="AA35" s="25">
        <f>'TUSD BE'!$AA$35*'TUSD BE'!$AA$58</f>
        <v>0</v>
      </c>
      <c r="AB35" s="25">
        <f>SUM($U$35:$AA$35)</f>
        <v>165.22380989339524</v>
      </c>
      <c r="AC35" s="25">
        <f>'TUSD BE'!$AC$35*'TUSD BE'!$AC$58</f>
        <v>-29.959885280128958</v>
      </c>
      <c r="AD35" s="25">
        <f>SUM($AC$35:$AC$35)</f>
        <v>-29.959885280128958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BE'!$AH$58</f>
        <v>4.3371179880199549</v>
      </c>
      <c r="AI35" s="25">
        <f>'TUSD BE'!$AI$35*'TUSD BE'!$AI$58</f>
        <v>0</v>
      </c>
      <c r="AJ35" s="25">
        <f ca="1">'TUSD BE'!$AJ$35*'TUSD BE'!$AJ$58</f>
        <v>0.59232525135728331</v>
      </c>
      <c r="AK35" s="25">
        <f ca="1">'TUSD BE'!$AK$35*'TUSD BE'!$AK$58</f>
        <v>0</v>
      </c>
      <c r="AL35" s="25">
        <f ca="1">SUM($AH$35:$AK$35)</f>
        <v>4.9294432393772381</v>
      </c>
      <c r="AM35" s="25">
        <f ca="1">SUMIF($L$4:$AL$4,"SUBTOTAL",$L$35:$AL$35)</f>
        <v>131.89051787048666</v>
      </c>
      <c r="AO35" s="30">
        <f ca="1">+'TUSD BE'!$T$35+'TUSD BE'!$AB$35+'TUSD BE'!$AD$35+'TUSD BE'!$AL$35</f>
        <v>1616.1753664562782</v>
      </c>
      <c r="AP35" s="30">
        <f ca="1">+'TUSD BE'!$T$35+'TUSD BE'!$AB$35+'TUSD BE'!$AD$35+'TUSD BE'!$AL$35</f>
        <v>1616.1753664562782</v>
      </c>
    </row>
    <row r="36" spans="1:42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25">
        <f>'TUSD BE'!$L$36*'TUSD BE'!$L$58</f>
        <v>0</v>
      </c>
      <c r="M36" s="25">
        <f>'TUSD BE'!$M$36*'TUSD BE'!$M$58</f>
        <v>-0.1576210433689833</v>
      </c>
      <c r="N36" s="25">
        <f ca="1">'TUSD BE'!$N$36*'TUSD BE'!$N$58</f>
        <v>0</v>
      </c>
      <c r="O36" s="25">
        <f>'TUSD BE'!$O$36*'TUSD BE'!$O$58</f>
        <v>0</v>
      </c>
      <c r="P36" s="25">
        <f>'TUSD BE'!$P$36*'TUSD BE'!$P$58</f>
        <v>0</v>
      </c>
      <c r="Q36" s="25">
        <f>'TUSD BE'!$Q$36*'TUSD BE'!$Q$58</f>
        <v>-7.5014559131386029</v>
      </c>
      <c r="R36" s="25">
        <f>'TUSD BE'!$R$36*'TUSD BE'!$R$58</f>
        <v>-0.64377302564927097</v>
      </c>
      <c r="S36" s="25">
        <f>'TUSD BE'!$R$36*'TUSD BE'!$S$58</f>
        <v>0</v>
      </c>
      <c r="T36" s="25">
        <f ca="1">SUM($L$36:$S$36)</f>
        <v>-8.3028499821568573</v>
      </c>
      <c r="U36" s="25">
        <f>'TUSD BE'!$U$36*'TUSD BE'!$U$58</f>
        <v>0</v>
      </c>
      <c r="V36" s="25">
        <f>'TUSD BE'!$V$36*'TUSD BE'!$V$58</f>
        <v>0</v>
      </c>
      <c r="W36" s="25">
        <f>'TUSD BE'!$W$36*'TUSD BE'!$W$58</f>
        <v>0</v>
      </c>
      <c r="X36" s="25">
        <f>'TUSD BE'!$X$36*'TUSD BE'!$X$58</f>
        <v>0</v>
      </c>
      <c r="Y36" s="25">
        <f>'TUSD BE'!$Y$36*'TUSD BE'!$Y$58</f>
        <v>55.075012892274351</v>
      </c>
      <c r="Z36" s="25">
        <f>'TUSD BE'!$Z$36*'TUSD BE'!$Z$58</f>
        <v>0</v>
      </c>
      <c r="AA36" s="25">
        <f>'TUSD BE'!$AA$36*'TUSD BE'!$AA$58</f>
        <v>0</v>
      </c>
      <c r="AB36" s="25">
        <f>SUM($U$36:$AA$36)</f>
        <v>55.075012892274351</v>
      </c>
      <c r="AC36" s="25">
        <f>'TUSD BE'!$AC$36*'TUSD BE'!$AC$58</f>
        <v>-9.9866332697298148</v>
      </c>
      <c r="AD36" s="25">
        <f>SUM($AC$36:$AC$36)</f>
        <v>-9.9866332697298148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BE'!$AH$58</f>
        <v>4.3371179880199549</v>
      </c>
      <c r="AI36" s="25">
        <f>'TUSD BE'!$AI$36*'TUSD BE'!$AI$58</f>
        <v>0</v>
      </c>
      <c r="AJ36" s="25">
        <f ca="1">'TUSD BE'!$AJ$36*'TUSD BE'!$AJ$58</f>
        <v>0.59232525135728331</v>
      </c>
      <c r="AK36" s="25">
        <f ca="1">'TUSD BE'!$AK$36*'TUSD BE'!$AK$58</f>
        <v>0</v>
      </c>
      <c r="AL36" s="25">
        <f ca="1">SUM($AH$36:$AK$36)</f>
        <v>4.9294432393772381</v>
      </c>
      <c r="AM36" s="25">
        <f ca="1">SUMIF($L$4:$AL$4,"SUBTOTAL",$L$36:$AL$36)</f>
        <v>41.714972879764915</v>
      </c>
      <c r="AO36" s="30">
        <f ca="1">+'TUSD BE'!$T$36+'TUSD BE'!$AB$36+'TUSD BE'!$AD$36+'TUSD BE'!$AL$36</f>
        <v>653.95783618211112</v>
      </c>
      <c r="AP36" s="30">
        <f ca="1">+'TUSD BE'!$T$36+'TUSD BE'!$AB$36+'TUSD BE'!$AD$36+'TUSD BE'!$AL$36</f>
        <v>653.95783618211112</v>
      </c>
    </row>
    <row r="37" spans="1:42" ht="11.25" customHeight="1" x14ac:dyDescent="0.3">
      <c r="A37" s="125"/>
      <c r="B37" s="28" t="s">
        <v>23</v>
      </c>
      <c r="C37" s="28" t="s">
        <v>41</v>
      </c>
      <c r="D37" s="28" t="s">
        <v>85</v>
      </c>
      <c r="E37" s="28" t="s">
        <v>25</v>
      </c>
      <c r="F37" s="28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25">
        <f>'TUSD BE'!$L$37*'TUSD BE'!$L$58</f>
        <v>0</v>
      </c>
      <c r="M37" s="25">
        <f>'TUSD BE'!$M$37*'TUSD BE'!$M$58</f>
        <v>-0.1576210433689833</v>
      </c>
      <c r="N37" s="25">
        <f ca="1">'TUSD BE'!$N$37*'TUSD BE'!$N$58</f>
        <v>0</v>
      </c>
      <c r="O37" s="25">
        <f>'TUSD BE'!$O$37*'TUSD BE'!$O$58</f>
        <v>0</v>
      </c>
      <c r="P37" s="25">
        <f>'TUSD BE'!$P$37*'TUSD BE'!$P$58</f>
        <v>0</v>
      </c>
      <c r="Q37" s="25">
        <f>'TUSD BE'!$Q$37*'TUSD BE'!$Q$58</f>
        <v>-7.5014559131386029</v>
      </c>
      <c r="R37" s="25">
        <f>'TUSD BE'!$R$37*'TUSD BE'!$R$58</f>
        <v>-0.64377302564927097</v>
      </c>
      <c r="S37" s="25">
        <f>'TUSD BE'!$R$37*'TUSD BE'!$S$58</f>
        <v>0</v>
      </c>
      <c r="T37" s="25">
        <f ca="1">SUM($L$37:$S$37)</f>
        <v>-8.3028499821568573</v>
      </c>
      <c r="U37" s="25">
        <f>'TUSD BE'!$U$37*'TUSD BE'!$U$58</f>
        <v>0</v>
      </c>
      <c r="V37" s="25">
        <f>'TUSD BE'!$V$37*'TUSD BE'!$V$58</f>
        <v>0</v>
      </c>
      <c r="W37" s="25">
        <f>'TUSD BE'!$W$37*'TUSD BE'!$W$58</f>
        <v>0</v>
      </c>
      <c r="X37" s="25">
        <f>'TUSD BE'!$X$37*'TUSD BE'!$X$58</f>
        <v>0</v>
      </c>
      <c r="Y37" s="25">
        <f>'TUSD BE'!$Y$37*'TUSD BE'!$Y$58</f>
        <v>91.791423122070853</v>
      </c>
      <c r="Z37" s="25">
        <f>'TUSD BE'!$Z$37*'TUSD BE'!$Z$58</f>
        <v>0</v>
      </c>
      <c r="AA37" s="25">
        <f>'TUSD BE'!$AA$37*'TUSD BE'!$AA$58</f>
        <v>0</v>
      </c>
      <c r="AB37" s="25">
        <f>SUM($U$37:$AA$37)</f>
        <v>91.791423122070853</v>
      </c>
      <c r="AC37" s="25">
        <f>'TUSD BE'!$AC$37*'TUSD BE'!$AC$58</f>
        <v>-16.644379096842702</v>
      </c>
      <c r="AD37" s="25">
        <f>SUM($AC$37:$AC$37)</f>
        <v>-16.644379096842702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BE'!$AH$58</f>
        <v>4.3371179880199549</v>
      </c>
      <c r="AI37" s="25">
        <f>'TUSD BE'!$AI$37*'TUSD BE'!$AI$58</f>
        <v>0</v>
      </c>
      <c r="AJ37" s="25">
        <f ca="1">'TUSD BE'!$AJ$37*'TUSD BE'!$AJ$58</f>
        <v>0.59232525135728331</v>
      </c>
      <c r="AK37" s="25">
        <f ca="1">'TUSD BE'!$AK$37*'TUSD BE'!$AK$58</f>
        <v>0</v>
      </c>
      <c r="AL37" s="25">
        <f ca="1">SUM($AH$37:$AK$37)</f>
        <v>4.9294432393772381</v>
      </c>
      <c r="AM37" s="25">
        <f ca="1">SUMIF($L$4:$AL$4,"SUBTOTAL",$L$37:$AL$37)</f>
        <v>71.773637282448533</v>
      </c>
      <c r="AO37" s="30">
        <f ca="1">+'TUSD BE'!$T$37+'TUSD BE'!$AB$37+'TUSD BE'!$AD$37+'TUSD BE'!$AL$37</f>
        <v>974.69732838639129</v>
      </c>
      <c r="AP37" s="30">
        <f ca="1">+'TUSD BE'!$T$37+'TUSD BE'!$AB$37+'TUSD BE'!$AD$37+'TUSD BE'!$AL$37</f>
        <v>974.69732838639129</v>
      </c>
    </row>
    <row r="38" spans="1:42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25">
        <f>'TUSD BE'!$L$38*'TUSD BE'!$L$58</f>
        <v>0</v>
      </c>
      <c r="M38" s="25">
        <f>'TUSD BE'!$M$38*'TUSD BE'!$M$58</f>
        <v>-0.1576210433689833</v>
      </c>
      <c r="N38" s="25">
        <f ca="1">'TUSD BE'!$N$38*'TUSD BE'!$N$58</f>
        <v>0</v>
      </c>
      <c r="O38" s="25">
        <f>'TUSD BE'!$O$38*'TUSD BE'!$O$58</f>
        <v>0</v>
      </c>
      <c r="P38" s="25">
        <f>'TUSD BE'!$P$38*'TUSD BE'!$P$58</f>
        <v>0</v>
      </c>
      <c r="Q38" s="25">
        <f>'TUSD BE'!$Q$38*'TUSD BE'!$Q$58</f>
        <v>-7.5014559131386029</v>
      </c>
      <c r="R38" s="25">
        <f>'TUSD BE'!$R$38*'TUSD BE'!$R$58</f>
        <v>-0.64377302564927097</v>
      </c>
      <c r="S38" s="25">
        <f>'TUSD BE'!$R$38*'TUSD BE'!$S$58</f>
        <v>0</v>
      </c>
      <c r="T38" s="25">
        <f ca="1">SUM($L$38:$S$38)</f>
        <v>-8.3028499821568573</v>
      </c>
      <c r="U38" s="25">
        <f>'TUSD BE'!$U$38*'TUSD BE'!$U$58</f>
        <v>0</v>
      </c>
      <c r="V38" s="25">
        <f>'TUSD BE'!$V$38*'TUSD BE'!$V$58</f>
        <v>0</v>
      </c>
      <c r="W38" s="25">
        <f>'TUSD BE'!$W$38*'TUSD BE'!$W$58</f>
        <v>0</v>
      </c>
      <c r="X38" s="25">
        <f>'TUSD BE'!$X$38*'TUSD BE'!$X$58</f>
        <v>0</v>
      </c>
      <c r="Y38" s="25">
        <f>'TUSD BE'!$Y$38*'TUSD BE'!$Y$58</f>
        <v>275.37390795932208</v>
      </c>
      <c r="Z38" s="25">
        <f>'TUSD BE'!$Z$38*'TUSD BE'!$Z$58</f>
        <v>0</v>
      </c>
      <c r="AA38" s="25">
        <f>'TUSD BE'!$AA$38*'TUSD BE'!$AA$58</f>
        <v>0</v>
      </c>
      <c r="AB38" s="25">
        <f>SUM($U$38:$AA$38)</f>
        <v>275.37390795932208</v>
      </c>
      <c r="AC38" s="25">
        <f>'TUSD BE'!$AC$38*'TUSD BE'!$AC$58</f>
        <v>-49.933140922793228</v>
      </c>
      <c r="AD38" s="25">
        <f>SUM($AC$38:$AC$38)</f>
        <v>-49.933140922793228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BE'!$AH$58</f>
        <v>4.3371179880199549</v>
      </c>
      <c r="AI38" s="25">
        <f>'TUSD BE'!$AI$38*'TUSD BE'!$AI$58</f>
        <v>0</v>
      </c>
      <c r="AJ38" s="25">
        <f ca="1">'TUSD BE'!$AJ$38*'TUSD BE'!$AJ$58</f>
        <v>0.59232525135728331</v>
      </c>
      <c r="AK38" s="25">
        <f ca="1">'TUSD BE'!$AK$38*'TUSD BE'!$AK$58</f>
        <v>0</v>
      </c>
      <c r="AL38" s="25">
        <f ca="1">SUM($AH$38:$AK$38)</f>
        <v>4.9294432393772381</v>
      </c>
      <c r="AM38" s="25">
        <f ca="1">SUMIF($L$4:$AL$4,"SUBTOTAL",$L$38:$AL$38)</f>
        <v>222.0673602937492</v>
      </c>
      <c r="AO38" s="30">
        <f ca="1">+'TUSD BE'!$T$38+'TUSD BE'!$AB$38+'TUSD BE'!$AD$38+'TUSD BE'!$AL$38</f>
        <v>2578.3971762037763</v>
      </c>
      <c r="AP38" s="30">
        <f ca="1">+'TUSD BE'!$T$38+'TUSD BE'!$AB$38+'TUSD BE'!$AD$38+'TUSD BE'!$AL$38</f>
        <v>2578.3971762037763</v>
      </c>
    </row>
    <row r="39" spans="1:42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25">
        <f>'TUSD BE'!$L$39*'TUSD BE'!$L$58</f>
        <v>0</v>
      </c>
      <c r="M39" s="25">
        <f>'TUSD BE'!$M$39*'TUSD BE'!$M$58</f>
        <v>-0.1576210433689833</v>
      </c>
      <c r="N39" s="25">
        <f ca="1">'TUSD BE'!$N$39*'TUSD BE'!$N$58</f>
        <v>0</v>
      </c>
      <c r="O39" s="25">
        <f>'TUSD BE'!$O$39*'TUSD BE'!$O$58</f>
        <v>0</v>
      </c>
      <c r="P39" s="25">
        <f>'TUSD BE'!$P$39*'TUSD BE'!$P$58</f>
        <v>0</v>
      </c>
      <c r="Q39" s="25">
        <f>'TUSD BE'!$Q$39*'TUSD BE'!$Q$58</f>
        <v>-7.5014559131386029</v>
      </c>
      <c r="R39" s="25">
        <f>'TUSD BE'!$R$39*'TUSD BE'!$R$58</f>
        <v>-0.64377302564927097</v>
      </c>
      <c r="S39" s="25">
        <f>'TUSD BE'!$R$39*'TUSD BE'!$S$58</f>
        <v>0</v>
      </c>
      <c r="T39" s="25">
        <f ca="1">SUM($L$39:$S$39)</f>
        <v>-8.3028499821568573</v>
      </c>
      <c r="U39" s="25">
        <f>'TUSD BE'!$U$39*'TUSD BE'!$U$58</f>
        <v>0</v>
      </c>
      <c r="V39" s="25">
        <f>'TUSD BE'!$V$39*'TUSD BE'!$V$58</f>
        <v>0</v>
      </c>
      <c r="W39" s="25">
        <f>'TUSD BE'!$W$39*'TUSD BE'!$W$58</f>
        <v>0</v>
      </c>
      <c r="X39" s="25">
        <f>'TUSD BE'!$X$39*'TUSD BE'!$X$58</f>
        <v>0</v>
      </c>
      <c r="Y39" s="25">
        <f>'TUSD BE'!$Y$39*'TUSD BE'!$Y$58</f>
        <v>165.22380989339524</v>
      </c>
      <c r="Z39" s="25">
        <f>'TUSD BE'!$Z$39*'TUSD BE'!$Z$58</f>
        <v>0</v>
      </c>
      <c r="AA39" s="25">
        <f>'TUSD BE'!$AA$39*'TUSD BE'!$AA$58</f>
        <v>0</v>
      </c>
      <c r="AB39" s="25">
        <f>SUM($U$39:$AA$39)</f>
        <v>165.22380989339524</v>
      </c>
      <c r="AC39" s="25">
        <f>'TUSD BE'!$AC$39*'TUSD BE'!$AC$58</f>
        <v>-29.959885280128958</v>
      </c>
      <c r="AD39" s="25">
        <f>SUM($AC$39:$AC$39)</f>
        <v>-29.959885280128958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BE'!$AH$58</f>
        <v>4.3371179880199549</v>
      </c>
      <c r="AI39" s="25">
        <f>'TUSD BE'!$AI$39*'TUSD BE'!$AI$58</f>
        <v>0</v>
      </c>
      <c r="AJ39" s="25">
        <f ca="1">'TUSD BE'!$AJ$39*'TUSD BE'!$AJ$58</f>
        <v>0.59232525135728331</v>
      </c>
      <c r="AK39" s="25">
        <f ca="1">'TUSD BE'!$AK$39*'TUSD BE'!$AK$58</f>
        <v>0</v>
      </c>
      <c r="AL39" s="25">
        <f ca="1">SUM($AH$39:$AK$39)</f>
        <v>4.9294432393772381</v>
      </c>
      <c r="AM39" s="25">
        <f ca="1">SUMIF($L$4:$AL$4,"SUBTOTAL",$L$39:$AL$39)</f>
        <v>131.89051787048666</v>
      </c>
      <c r="AO39" s="30">
        <f ca="1">+'TUSD BE'!$T$39+'TUSD BE'!$AB$39+'TUSD BE'!$AD$39+'TUSD BE'!$AL$39</f>
        <v>1616.1753664562782</v>
      </c>
      <c r="AP39" s="30">
        <f ca="1">+'TUSD BE'!$T$39+'TUSD BE'!$AB$39+'TUSD BE'!$AD$39+'TUSD BE'!$AL$39</f>
        <v>1616.1753664562782</v>
      </c>
    </row>
    <row r="40" spans="1:42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25">
        <f>'TUSD BE'!$L$40*'TUSD BE'!$L$58</f>
        <v>0</v>
      </c>
      <c r="M40" s="25">
        <f>'TUSD BE'!$M$40*'TUSD BE'!$M$58</f>
        <v>-0.1576210433689833</v>
      </c>
      <c r="N40" s="25">
        <f ca="1">'TUSD BE'!$N$40*'TUSD BE'!$N$58</f>
        <v>0</v>
      </c>
      <c r="O40" s="25">
        <f>'TUSD BE'!$O$40*'TUSD BE'!$O$58</f>
        <v>0</v>
      </c>
      <c r="P40" s="25">
        <f>'TUSD BE'!$P$40*'TUSD BE'!$P$58</f>
        <v>0</v>
      </c>
      <c r="Q40" s="25">
        <f>'TUSD BE'!$Q$40*'TUSD BE'!$Q$58</f>
        <v>-7.5014559131386029</v>
      </c>
      <c r="R40" s="25">
        <f>'TUSD BE'!$R$40*'TUSD BE'!$R$58</f>
        <v>-0.64377302564927097</v>
      </c>
      <c r="S40" s="25">
        <f>'TUSD BE'!$R$40*'TUSD BE'!$S$58</f>
        <v>0</v>
      </c>
      <c r="T40" s="25">
        <f ca="1">SUM($L$40:$S$40)</f>
        <v>-8.3028499821568573</v>
      </c>
      <c r="U40" s="25">
        <f>'TUSD BE'!$U$40*'TUSD BE'!$U$58</f>
        <v>0</v>
      </c>
      <c r="V40" s="25">
        <f>'TUSD BE'!$V$40*'TUSD BE'!$V$58</f>
        <v>0</v>
      </c>
      <c r="W40" s="25">
        <f>'TUSD BE'!$W$40*'TUSD BE'!$W$58</f>
        <v>0</v>
      </c>
      <c r="X40" s="25">
        <f>'TUSD BE'!$X$40*'TUSD BE'!$X$58</f>
        <v>0</v>
      </c>
      <c r="Y40" s="25">
        <f>'TUSD BE'!$Y$40*'TUSD BE'!$Y$58</f>
        <v>55.075012892274351</v>
      </c>
      <c r="Z40" s="25">
        <f>'TUSD BE'!$Z$40*'TUSD BE'!$Z$58</f>
        <v>0</v>
      </c>
      <c r="AA40" s="25">
        <f>'TUSD BE'!$AA$40*'TUSD BE'!$AA$58</f>
        <v>0</v>
      </c>
      <c r="AB40" s="25">
        <f>SUM($U$40:$AA$40)</f>
        <v>55.075012892274351</v>
      </c>
      <c r="AC40" s="25">
        <f>'TUSD BE'!$AC$40*'TUSD BE'!$AC$58</f>
        <v>-9.9866332697298148</v>
      </c>
      <c r="AD40" s="25">
        <f>SUM($AC$40:$AC$40)</f>
        <v>-9.9866332697298148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BE'!$AH$58</f>
        <v>4.3371179880199549</v>
      </c>
      <c r="AI40" s="25">
        <f>'TUSD BE'!$AI$40*'TUSD BE'!$AI$58</f>
        <v>0</v>
      </c>
      <c r="AJ40" s="25">
        <f ca="1">'TUSD BE'!$AJ$40*'TUSD BE'!$AJ$58</f>
        <v>0.59232525135728331</v>
      </c>
      <c r="AK40" s="25">
        <f ca="1">'TUSD BE'!$AK$40*'TUSD BE'!$AK$58</f>
        <v>0</v>
      </c>
      <c r="AL40" s="25">
        <f ca="1">SUM($AH$40:$AK$40)</f>
        <v>4.9294432393772381</v>
      </c>
      <c r="AM40" s="25">
        <f ca="1">SUMIF($L$4:$AL$4,"SUBTOTAL",$L$40:$AL$40)</f>
        <v>41.714972879764915</v>
      </c>
      <c r="AO40" s="30">
        <f ca="1">+'TUSD BE'!$T$40+'TUSD BE'!$AB$40+'TUSD BE'!$AD$40+'TUSD BE'!$AL$40</f>
        <v>653.95783618211112</v>
      </c>
      <c r="AP40" s="30">
        <f ca="1">+'TUSD BE'!$T$40+'TUSD BE'!$AB$40+'TUSD BE'!$AD$40+'TUSD BE'!$AL$40</f>
        <v>653.95783618211112</v>
      </c>
    </row>
    <row r="41" spans="1:42" ht="11.25" customHeight="1" x14ac:dyDescent="0.3">
      <c r="A41" s="125"/>
      <c r="B41" s="28" t="s">
        <v>23</v>
      </c>
      <c r="C41" s="28" t="s">
        <v>41</v>
      </c>
      <c r="D41" s="28" t="s">
        <v>86</v>
      </c>
      <c r="E41" s="28" t="s">
        <v>25</v>
      </c>
      <c r="F41" s="28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25">
        <f>'TUSD BE'!$L$41*'TUSD BE'!$L$58</f>
        <v>0</v>
      </c>
      <c r="M41" s="25">
        <f>'TUSD BE'!$M$41*'TUSD BE'!$M$58</f>
        <v>-0.1576210433689833</v>
      </c>
      <c r="N41" s="25">
        <f ca="1">'TUSD BE'!$N$41*'TUSD BE'!$N$58</f>
        <v>0</v>
      </c>
      <c r="O41" s="25">
        <f>'TUSD BE'!$O$41*'TUSD BE'!$O$58</f>
        <v>0</v>
      </c>
      <c r="P41" s="25">
        <f>'TUSD BE'!$P$41*'TUSD BE'!$P$58</f>
        <v>0</v>
      </c>
      <c r="Q41" s="25">
        <f>'TUSD BE'!$Q$41*'TUSD BE'!$Q$58</f>
        <v>-7.5014559131386029</v>
      </c>
      <c r="R41" s="25">
        <f>'TUSD BE'!$R$41*'TUSD BE'!$R$58</f>
        <v>-0.64377302564927097</v>
      </c>
      <c r="S41" s="25">
        <f>'TUSD BE'!$R$41*'TUSD BE'!$S$58</f>
        <v>0</v>
      </c>
      <c r="T41" s="25">
        <f ca="1">SUM($L$41:$S$41)</f>
        <v>-8.3028499821568573</v>
      </c>
      <c r="U41" s="25">
        <f>'TUSD BE'!$U$41*'TUSD BE'!$U$58</f>
        <v>0</v>
      </c>
      <c r="V41" s="25">
        <f>'TUSD BE'!$V$41*'TUSD BE'!$V$58</f>
        <v>0</v>
      </c>
      <c r="W41" s="25">
        <f>'TUSD BE'!$W$41*'TUSD BE'!$W$58</f>
        <v>0</v>
      </c>
      <c r="X41" s="25">
        <f>'TUSD BE'!$X$41*'TUSD BE'!$X$58</f>
        <v>0</v>
      </c>
      <c r="Y41" s="25">
        <f>'TUSD BE'!$Y$41*'TUSD BE'!$Y$58</f>
        <v>91.791423122070853</v>
      </c>
      <c r="Z41" s="25">
        <f>'TUSD BE'!$Z$41*'TUSD BE'!$Z$58</f>
        <v>0</v>
      </c>
      <c r="AA41" s="25">
        <f>'TUSD BE'!$AA$41*'TUSD BE'!$AA$58</f>
        <v>0</v>
      </c>
      <c r="AB41" s="25">
        <f>SUM($U$41:$AA$41)</f>
        <v>91.791423122070853</v>
      </c>
      <c r="AC41" s="25">
        <f>'TUSD BE'!$AC$41*'TUSD BE'!$AC$58</f>
        <v>-16.644379096842702</v>
      </c>
      <c r="AD41" s="25">
        <f>SUM($AC$41:$AC$41)</f>
        <v>-16.644379096842702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BE'!$AH$58</f>
        <v>4.3371179880199549</v>
      </c>
      <c r="AI41" s="25">
        <f>'TUSD BE'!$AI$41*'TUSD BE'!$AI$58</f>
        <v>0</v>
      </c>
      <c r="AJ41" s="25">
        <f ca="1">'TUSD BE'!$AJ$41*'TUSD BE'!$AJ$58</f>
        <v>0.59232525135728331</v>
      </c>
      <c r="AK41" s="25">
        <f ca="1">'TUSD BE'!$AK$41*'TUSD BE'!$AK$58</f>
        <v>0</v>
      </c>
      <c r="AL41" s="25">
        <f ca="1">SUM($AH$41:$AK$41)</f>
        <v>4.9294432393772381</v>
      </c>
      <c r="AM41" s="25">
        <f ca="1">SUMIF($L$4:$AL$4,"SUBTOTAL",$L$41:$AL$41)</f>
        <v>71.773637282448533</v>
      </c>
      <c r="AO41" s="30">
        <f ca="1">+'TUSD BE'!$T$41+'TUSD BE'!$AB$41+'TUSD BE'!$AD$41+'TUSD BE'!$AL$41</f>
        <v>974.69732838639129</v>
      </c>
      <c r="AP41" s="30">
        <f ca="1">+'TUSD BE'!$T$41+'TUSD BE'!$AB$41+'TUSD BE'!$AD$41+'TUSD BE'!$AL$41</f>
        <v>974.69732838639129</v>
      </c>
    </row>
    <row r="42" spans="1:42" ht="11.25" customHeight="1" x14ac:dyDescent="0.3">
      <c r="A42" s="125"/>
      <c r="B42" s="125" t="s">
        <v>84</v>
      </c>
      <c r="C42" s="125" t="s">
        <v>41</v>
      </c>
      <c r="D42" s="28" t="s">
        <v>25</v>
      </c>
      <c r="E42" s="28" t="s">
        <v>25</v>
      </c>
      <c r="F42" s="28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25">
        <f>'TUSD BE'!$L$42*'TUSD BE'!$L$58</f>
        <v>0</v>
      </c>
      <c r="M42" s="25">
        <f>'TUSD BE'!$M$42*'TUSD BE'!$M$58</f>
        <v>-0.1576210433689833</v>
      </c>
      <c r="N42" s="25">
        <f ca="1">'TUSD BE'!$N$42*'TUSD BE'!$N$58</f>
        <v>0</v>
      </c>
      <c r="O42" s="25">
        <f>'TUSD BE'!$O$42*'TUSD BE'!$O$58</f>
        <v>0</v>
      </c>
      <c r="P42" s="25">
        <f>'TUSD BE'!$P$42*'TUSD BE'!$P$58</f>
        <v>0</v>
      </c>
      <c r="Q42" s="25">
        <f>'TUSD BE'!$Q$42*'TUSD BE'!$Q$58</f>
        <v>-7.5014559131386029</v>
      </c>
      <c r="R42" s="25">
        <f>'TUSD BE'!$R$42*'TUSD BE'!$R$58</f>
        <v>-0.64377302564927097</v>
      </c>
      <c r="S42" s="25">
        <f>'TUSD BE'!$R$42*'TUSD BE'!$S$58</f>
        <v>0</v>
      </c>
      <c r="T42" s="25">
        <f ca="1">SUM($L$42:$S$42)</f>
        <v>-8.3028499821568573</v>
      </c>
      <c r="U42" s="25">
        <f>'TUSD BE'!$U$42*'TUSD BE'!$U$58</f>
        <v>0</v>
      </c>
      <c r="V42" s="25">
        <f>'TUSD BE'!$V$42*'TUSD BE'!$V$58</f>
        <v>0</v>
      </c>
      <c r="W42" s="25">
        <f>'TUSD BE'!$W$42*'TUSD BE'!$W$58</f>
        <v>0</v>
      </c>
      <c r="X42" s="25">
        <f>'TUSD BE'!$X$42*'TUSD BE'!$X$58</f>
        <v>0</v>
      </c>
      <c r="Y42" s="25">
        <f>'TUSD BE'!$Y$42*'TUSD BE'!$Y$58</f>
        <v>91.791423122070853</v>
      </c>
      <c r="Z42" s="25">
        <f>'TUSD BE'!$Z$42*'TUSD BE'!$Z$58</f>
        <v>0</v>
      </c>
      <c r="AA42" s="25">
        <f>'TUSD BE'!$AA$42*'TUSD BE'!$AA$58</f>
        <v>0</v>
      </c>
      <c r="AB42" s="25">
        <f>SUM($U$42:$AA$42)</f>
        <v>91.791423122070853</v>
      </c>
      <c r="AC42" s="25">
        <f>'TUSD BE'!$AC$42*'TUSD BE'!$AC$58</f>
        <v>-16.644379096842702</v>
      </c>
      <c r="AD42" s="25">
        <f>SUM($AC$42:$AC$42)</f>
        <v>-16.644379096842702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BE'!$AH$58</f>
        <v>4.3371179880199549</v>
      </c>
      <c r="AI42" s="25">
        <f>'TUSD BE'!$AI$42*'TUSD BE'!$AI$58</f>
        <v>0</v>
      </c>
      <c r="AJ42" s="25">
        <f ca="1">'TUSD BE'!$AJ$42*'TUSD BE'!$AJ$58</f>
        <v>0.59232525135728331</v>
      </c>
      <c r="AK42" s="25">
        <f ca="1">'TUSD BE'!$AK$42*'TUSD BE'!$AK$58</f>
        <v>0</v>
      </c>
      <c r="AL42" s="25">
        <f ca="1">SUM($AH$42:$AK$42)</f>
        <v>4.9294432393772381</v>
      </c>
      <c r="AM42" s="25">
        <f ca="1">SUMIF($L$4:$AL$4,"SUBTOTAL",$L$42:$AL$42)</f>
        <v>71.773637282448533</v>
      </c>
      <c r="AO42" s="30">
        <f ca="1">+'TUSD BE'!$T$42+'TUSD BE'!$AB$42+'TUSD BE'!$AD$42+'TUSD BE'!$AL$42</f>
        <v>974.69732838639129</v>
      </c>
      <c r="AP42" s="30">
        <f ca="1">+'TUSD BE'!$T$42+'TUSD BE'!$AB$42+'TUSD BE'!$AD$42+'TUSD BE'!$AL$42</f>
        <v>974.69732838639129</v>
      </c>
    </row>
    <row r="43" spans="1:42" ht="11.25" customHeight="1" x14ac:dyDescent="0.3">
      <c r="A43" s="125"/>
      <c r="B43" s="125"/>
      <c r="C43" s="125"/>
      <c r="D43" s="28" t="s">
        <v>85</v>
      </c>
      <c r="E43" s="28" t="s">
        <v>25</v>
      </c>
      <c r="F43" s="28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25">
        <f>'TUSD BE'!$L$43*'TUSD BE'!$L$58</f>
        <v>0</v>
      </c>
      <c r="M43" s="25">
        <f>'TUSD BE'!$M$43*'TUSD BE'!$M$58</f>
        <v>-0.1576210433689833</v>
      </c>
      <c r="N43" s="25">
        <f ca="1">'TUSD BE'!$N$43*'TUSD BE'!$N$58</f>
        <v>0</v>
      </c>
      <c r="O43" s="25">
        <f>'TUSD BE'!$O$43*'TUSD BE'!$O$58</f>
        <v>0</v>
      </c>
      <c r="P43" s="25">
        <f>'TUSD BE'!$P$43*'TUSD BE'!$P$58</f>
        <v>0</v>
      </c>
      <c r="Q43" s="25">
        <f>'TUSD BE'!$Q$43*'TUSD BE'!$Q$58</f>
        <v>-7.5014559131386029</v>
      </c>
      <c r="R43" s="25">
        <f>'TUSD BE'!$R$43*'TUSD BE'!$R$58</f>
        <v>-0.64377302564927097</v>
      </c>
      <c r="S43" s="25">
        <f>'TUSD BE'!$R$43*'TUSD BE'!$S$58</f>
        <v>0</v>
      </c>
      <c r="T43" s="25">
        <f ca="1">SUM($L$43:$S$43)</f>
        <v>-8.3028499821568573</v>
      </c>
      <c r="U43" s="25">
        <f>'TUSD BE'!$U$43*'TUSD BE'!$U$58</f>
        <v>0</v>
      </c>
      <c r="V43" s="25">
        <f>'TUSD BE'!$V$43*'TUSD BE'!$V$58</f>
        <v>0</v>
      </c>
      <c r="W43" s="25">
        <f>'TUSD BE'!$W$43*'TUSD BE'!$W$58</f>
        <v>0</v>
      </c>
      <c r="X43" s="25">
        <f>'TUSD BE'!$X$43*'TUSD BE'!$X$58</f>
        <v>0</v>
      </c>
      <c r="Y43" s="25">
        <f>'TUSD BE'!$Y$43*'TUSD BE'!$Y$58</f>
        <v>91.791423122070853</v>
      </c>
      <c r="Z43" s="25">
        <f>'TUSD BE'!$Z$43*'TUSD BE'!$Z$58</f>
        <v>0</v>
      </c>
      <c r="AA43" s="25">
        <f>'TUSD BE'!$AA$43*'TUSD BE'!$AA$58</f>
        <v>0</v>
      </c>
      <c r="AB43" s="25">
        <f>SUM($U$43:$AA$43)</f>
        <v>91.791423122070853</v>
      </c>
      <c r="AC43" s="25">
        <f>'TUSD BE'!$AC$43*'TUSD BE'!$AC$58</f>
        <v>-16.644379096842702</v>
      </c>
      <c r="AD43" s="25">
        <f>SUM($AC$43:$AC$43)</f>
        <v>-16.644379096842702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BE'!$AH$58</f>
        <v>4.3371179880199549</v>
      </c>
      <c r="AI43" s="25">
        <f>'TUSD BE'!$AI$43*'TUSD BE'!$AI$58</f>
        <v>0</v>
      </c>
      <c r="AJ43" s="25">
        <f ca="1">'TUSD BE'!$AJ$43*'TUSD BE'!$AJ$58</f>
        <v>0.59232525135728331</v>
      </c>
      <c r="AK43" s="25">
        <f ca="1">'TUSD BE'!$AK$43*'TUSD BE'!$AK$58</f>
        <v>0</v>
      </c>
      <c r="AL43" s="25">
        <f ca="1">SUM($AH$43:$AK$43)</f>
        <v>4.9294432393772381</v>
      </c>
      <c r="AM43" s="25">
        <f ca="1">SUMIF($L$4:$AL$4,"SUBTOTAL",$L$43:$AL$43)</f>
        <v>71.773637282448533</v>
      </c>
      <c r="AO43" s="30">
        <f ca="1">+'TUSD BE'!$T$43+'TUSD BE'!$AB$43+'TUSD BE'!$AD$43+'TUSD BE'!$AL$43</f>
        <v>974.69732838639129</v>
      </c>
      <c r="AP43" s="30">
        <f ca="1">+'TUSD BE'!$T$43+'TUSD BE'!$AB$43+'TUSD BE'!$AD$43+'TUSD BE'!$AL$43</f>
        <v>974.69732838639129</v>
      </c>
    </row>
    <row r="44" spans="1:42" ht="11.25" customHeight="1" x14ac:dyDescent="0.3">
      <c r="A44" s="125"/>
      <c r="B44" s="125"/>
      <c r="C44" s="125"/>
      <c r="D44" s="28" t="s">
        <v>86</v>
      </c>
      <c r="E44" s="28" t="s">
        <v>25</v>
      </c>
      <c r="F44" s="28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25">
        <f>'TUSD BE'!$L$44*'TUSD BE'!$L$58</f>
        <v>0</v>
      </c>
      <c r="M44" s="25">
        <f>'TUSD BE'!$M$44*'TUSD BE'!$M$58</f>
        <v>-0.1576210433689833</v>
      </c>
      <c r="N44" s="25">
        <f ca="1">'TUSD BE'!$N$44*'TUSD BE'!$N$58</f>
        <v>0</v>
      </c>
      <c r="O44" s="25">
        <f>'TUSD BE'!$O$44*'TUSD BE'!$O$58</f>
        <v>0</v>
      </c>
      <c r="P44" s="25">
        <f>'TUSD BE'!$P$44*'TUSD BE'!$P$58</f>
        <v>0</v>
      </c>
      <c r="Q44" s="25">
        <f>'TUSD BE'!$Q$44*'TUSD BE'!$Q$58</f>
        <v>-7.5014559131386029</v>
      </c>
      <c r="R44" s="25">
        <f>'TUSD BE'!$R$44*'TUSD BE'!$R$58</f>
        <v>-0.64377302564927097</v>
      </c>
      <c r="S44" s="25">
        <f>'TUSD BE'!$R$44*'TUSD BE'!$S$58</f>
        <v>0</v>
      </c>
      <c r="T44" s="25">
        <f ca="1">SUM($L$44:$S$44)</f>
        <v>-8.3028499821568573</v>
      </c>
      <c r="U44" s="25">
        <f>'TUSD BE'!$U$44*'TUSD BE'!$U$58</f>
        <v>0</v>
      </c>
      <c r="V44" s="25">
        <f>'TUSD BE'!$V$44*'TUSD BE'!$V$58</f>
        <v>0</v>
      </c>
      <c r="W44" s="25">
        <f>'TUSD BE'!$W$44*'TUSD BE'!$W$58</f>
        <v>0</v>
      </c>
      <c r="X44" s="25">
        <f>'TUSD BE'!$X$44*'TUSD BE'!$X$58</f>
        <v>0</v>
      </c>
      <c r="Y44" s="25">
        <f>'TUSD BE'!$Y$44*'TUSD BE'!$Y$58</f>
        <v>91.791423122070853</v>
      </c>
      <c r="Z44" s="25">
        <f>'TUSD BE'!$Z$44*'TUSD BE'!$Z$58</f>
        <v>0</v>
      </c>
      <c r="AA44" s="25">
        <f>'TUSD BE'!$AA$44*'TUSD BE'!$AA$58</f>
        <v>0</v>
      </c>
      <c r="AB44" s="25">
        <f>SUM($U$44:$AA$44)</f>
        <v>91.791423122070853</v>
      </c>
      <c r="AC44" s="25">
        <f>'TUSD BE'!$AC$44*'TUSD BE'!$AC$58</f>
        <v>-16.644379096842702</v>
      </c>
      <c r="AD44" s="25">
        <f>SUM($AC$44:$AC$44)</f>
        <v>-16.644379096842702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BE'!$AH$58</f>
        <v>4.3371179880199549</v>
      </c>
      <c r="AI44" s="25">
        <f>'TUSD BE'!$AI$44*'TUSD BE'!$AI$58</f>
        <v>0</v>
      </c>
      <c r="AJ44" s="25">
        <f ca="1">'TUSD BE'!$AJ$44*'TUSD BE'!$AJ$58</f>
        <v>0.59232525135728331</v>
      </c>
      <c r="AK44" s="25">
        <f ca="1">'TUSD BE'!$AK$44*'TUSD BE'!$AK$58</f>
        <v>0</v>
      </c>
      <c r="AL44" s="25">
        <f ca="1">SUM($AH$44:$AK$44)</f>
        <v>4.9294432393772381</v>
      </c>
      <c r="AM44" s="25">
        <f ca="1">SUMIF($L$4:$AL$4,"SUBTOTAL",$L$44:$AL$44)</f>
        <v>71.773637282448533</v>
      </c>
      <c r="AO44" s="30">
        <f ca="1">+'TUSD BE'!$T$44+'TUSD BE'!$AB$44+'TUSD BE'!$AD$44+'TUSD BE'!$AL$44</f>
        <v>974.69732838639129</v>
      </c>
      <c r="AP44" s="30">
        <f ca="1">+'TUSD BE'!$T$44+'TUSD BE'!$AB$44+'TUSD BE'!$AD$44+'TUSD BE'!$AL$44</f>
        <v>974.69732838639129</v>
      </c>
    </row>
    <row r="45" spans="1:42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25">
        <f>'TUSD BE'!$L$45*'TUSD BE'!$L$58</f>
        <v>0</v>
      </c>
      <c r="M45" s="25">
        <f>'TUSD BE'!$M$45*'TUSD BE'!$M$58</f>
        <v>-0.1576210433689833</v>
      </c>
      <c r="N45" s="25">
        <f ca="1">'TUSD BE'!$N$45*'TUSD BE'!$N$58</f>
        <v>0</v>
      </c>
      <c r="O45" s="25">
        <f>'TUSD BE'!$O$45*'TUSD BE'!$O$58</f>
        <v>0</v>
      </c>
      <c r="P45" s="25">
        <f>'TUSD BE'!$P$45*'TUSD BE'!$P$58</f>
        <v>0</v>
      </c>
      <c r="Q45" s="25">
        <f>'TUSD BE'!$Q$45*'TUSD BE'!$Q$58</f>
        <v>-7.5014559131386029</v>
      </c>
      <c r="R45" s="25">
        <f>'TUSD BE'!$R$45*'TUSD BE'!$R$58</f>
        <v>-0.64377302564927097</v>
      </c>
      <c r="S45" s="25">
        <f>'TUSD BE'!$R$45*'TUSD BE'!$S$58</f>
        <v>0</v>
      </c>
      <c r="T45" s="25">
        <f ca="1">SUM($L$45:$S$45)</f>
        <v>-8.3028499821568573</v>
      </c>
      <c r="U45" s="25">
        <f>'TUSD BE'!$U$45*'TUSD BE'!$U$58</f>
        <v>0</v>
      </c>
      <c r="V45" s="25">
        <f>'TUSD BE'!$V$45*'TUSD BE'!$V$58</f>
        <v>0</v>
      </c>
      <c r="W45" s="25">
        <f>'TUSD BE'!$W$45*'TUSD BE'!$W$58</f>
        <v>0</v>
      </c>
      <c r="X45" s="25">
        <f>'TUSD BE'!$X$45*'TUSD BE'!$X$58</f>
        <v>0</v>
      </c>
      <c r="Y45" s="25">
        <f>'TUSD BE'!$Y$45*'TUSD BE'!$Y$58</f>
        <v>312.09013748567327</v>
      </c>
      <c r="Z45" s="25">
        <f>'TUSD BE'!$Z$45*'TUSD BE'!$Z$58</f>
        <v>0</v>
      </c>
      <c r="AA45" s="25">
        <f>'TUSD BE'!$AA$45*'TUSD BE'!$AA$58</f>
        <v>0</v>
      </c>
      <c r="AB45" s="25">
        <f>SUM($U$45:$AA$45)</f>
        <v>312.09013748567327</v>
      </c>
      <c r="AC45" s="25">
        <f>'TUSD BE'!$AC$45*'TUSD BE'!$AC$58</f>
        <v>-56.590890382171231</v>
      </c>
      <c r="AD45" s="25">
        <f>SUM($AC$45:$AC$45)</f>
        <v>-56.590890382171231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BE'!$AH$58</f>
        <v>4.3371179880199549</v>
      </c>
      <c r="AI45" s="25">
        <f>'TUSD BE'!$AI$45*'TUSD BE'!$AI$58</f>
        <v>0</v>
      </c>
      <c r="AJ45" s="25">
        <f ca="1">'TUSD BE'!$AJ$45*'TUSD BE'!$AJ$58</f>
        <v>0.59232525135728331</v>
      </c>
      <c r="AK45" s="25">
        <f ca="1">'TUSD BE'!$AK$45*'TUSD BE'!$AK$58</f>
        <v>0</v>
      </c>
      <c r="AL45" s="25">
        <f ca="1">SUM($AH$45:$AK$45)</f>
        <v>4.9294432393772381</v>
      </c>
      <c r="AM45" s="25">
        <f ca="1">SUMIF($L$4:$AL$4,"SUBTOTAL",$L$45:$AL$45)</f>
        <v>252.12584036072238</v>
      </c>
      <c r="AO45" s="30">
        <f ca="1">+'TUSD BE'!$T$45+'TUSD BE'!$AB$45+'TUSD BE'!$AD$45+'TUSD BE'!$AL$45</f>
        <v>2899.1362002306701</v>
      </c>
      <c r="AP45" s="30">
        <f ca="1">+'TUSD BE'!$T$45+'TUSD BE'!$AB$45+'TUSD BE'!$AD$45+'TUSD BE'!$AL$45</f>
        <v>2899.1362002306701</v>
      </c>
    </row>
    <row r="46" spans="1:42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25">
        <f>'TUSD BE'!$L$46*'TUSD BE'!$L$58</f>
        <v>0</v>
      </c>
      <c r="M46" s="25">
        <f>'TUSD BE'!$M$46*'TUSD BE'!$M$58</f>
        <v>-0.1576210433689833</v>
      </c>
      <c r="N46" s="25">
        <f ca="1">'TUSD BE'!$N$46*'TUSD BE'!$N$58</f>
        <v>0</v>
      </c>
      <c r="O46" s="25">
        <f>'TUSD BE'!$O$46*'TUSD BE'!$O$58</f>
        <v>0</v>
      </c>
      <c r="P46" s="25">
        <f>'TUSD BE'!$P$46*'TUSD BE'!$P$58</f>
        <v>0</v>
      </c>
      <c r="Q46" s="25">
        <f>'TUSD BE'!$Q$46*'TUSD BE'!$Q$58</f>
        <v>-7.5014559131386029</v>
      </c>
      <c r="R46" s="25">
        <f>'TUSD BE'!$R$46*'TUSD BE'!$R$58</f>
        <v>-0.64377302564927097</v>
      </c>
      <c r="S46" s="25">
        <f>'TUSD BE'!$R$46*'TUSD BE'!$S$58</f>
        <v>0</v>
      </c>
      <c r="T46" s="25">
        <f ca="1">SUM($L$46:$S$46)</f>
        <v>-8.3028499821568573</v>
      </c>
      <c r="U46" s="25">
        <f>'TUSD BE'!$U$46*'TUSD BE'!$U$58</f>
        <v>0</v>
      </c>
      <c r="V46" s="25">
        <f>'TUSD BE'!$V$46*'TUSD BE'!$V$58</f>
        <v>0</v>
      </c>
      <c r="W46" s="25">
        <f>'TUSD BE'!$W$46*'TUSD BE'!$W$58</f>
        <v>0</v>
      </c>
      <c r="X46" s="25">
        <f>'TUSD BE'!$X$46*'TUSD BE'!$X$58</f>
        <v>0</v>
      </c>
      <c r="Y46" s="25">
        <f>'TUSD BE'!$Y$46*'TUSD BE'!$Y$58</f>
        <v>187.2543065636761</v>
      </c>
      <c r="Z46" s="25">
        <f>'TUSD BE'!$Z$46*'TUSD BE'!$Z$58</f>
        <v>0</v>
      </c>
      <c r="AA46" s="25">
        <f>'TUSD BE'!$AA$46*'TUSD BE'!$AA$58</f>
        <v>0</v>
      </c>
      <c r="AB46" s="25">
        <f>SUM($U$46:$AA$46)</f>
        <v>187.2543065636761</v>
      </c>
      <c r="AC46" s="25">
        <f>'TUSD BE'!$AC$46*'TUSD BE'!$AC$58</f>
        <v>-33.954530597037618</v>
      </c>
      <c r="AD46" s="25">
        <f>SUM($AC$46:$AC$46)</f>
        <v>-33.954530597037618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BE'!$AH$58</f>
        <v>4.3371179880199549</v>
      </c>
      <c r="AI46" s="25">
        <f>'TUSD BE'!$AI$46*'TUSD BE'!$AI$58</f>
        <v>0</v>
      </c>
      <c r="AJ46" s="25">
        <f ca="1">'TUSD BE'!$AJ$46*'TUSD BE'!$AJ$58</f>
        <v>0.59232525135728331</v>
      </c>
      <c r="AK46" s="25">
        <f ca="1">'TUSD BE'!$AK$46*'TUSD BE'!$AK$58</f>
        <v>0</v>
      </c>
      <c r="AL46" s="25">
        <f ca="1">SUM($AH$46:$AK$46)</f>
        <v>4.9294432393772381</v>
      </c>
      <c r="AM46" s="25">
        <f ca="1">SUMIF($L$4:$AL$4,"SUBTOTAL",$L$46:$AL$46)</f>
        <v>149.92636922385884</v>
      </c>
      <c r="AO46" s="30">
        <f ca="1">+'TUSD BE'!$T$46+'TUSD BE'!$AB$46+'TUSD BE'!$AD$46+'TUSD BE'!$AL$46</f>
        <v>1808.6210796306625</v>
      </c>
      <c r="AP46" s="30">
        <f ca="1">+'TUSD BE'!$T$46+'TUSD BE'!$AB$46+'TUSD BE'!$AD$46+'TUSD BE'!$AL$46</f>
        <v>1808.6210796306625</v>
      </c>
    </row>
    <row r="47" spans="1:42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25">
        <f>'TUSD BE'!$L$47*'TUSD BE'!$L$58</f>
        <v>0</v>
      </c>
      <c r="M47" s="25">
        <f>'TUSD BE'!$M$47*'TUSD BE'!$M$58</f>
        <v>-0.1576210433689833</v>
      </c>
      <c r="N47" s="25">
        <f ca="1">'TUSD BE'!$N$47*'TUSD BE'!$N$58</f>
        <v>0</v>
      </c>
      <c r="O47" s="25">
        <f>'TUSD BE'!$O$47*'TUSD BE'!$O$58</f>
        <v>0</v>
      </c>
      <c r="P47" s="25">
        <f>'TUSD BE'!$P$47*'TUSD BE'!$P$58</f>
        <v>0</v>
      </c>
      <c r="Q47" s="25">
        <f>'TUSD BE'!$Q$47*'TUSD BE'!$Q$58</f>
        <v>-7.5014559131386029</v>
      </c>
      <c r="R47" s="25">
        <f>'TUSD BE'!$R$47*'TUSD BE'!$R$58</f>
        <v>-0.64377302564927097</v>
      </c>
      <c r="S47" s="25">
        <f>'TUSD BE'!$R$47*'TUSD BE'!$S$58</f>
        <v>0</v>
      </c>
      <c r="T47" s="25">
        <f ca="1">SUM($L$47:$S$47)</f>
        <v>-8.3028499821568573</v>
      </c>
      <c r="U47" s="25">
        <f>'TUSD BE'!$U$47*'TUSD BE'!$U$58</f>
        <v>0</v>
      </c>
      <c r="V47" s="25">
        <f>'TUSD BE'!$V$47*'TUSD BE'!$V$58</f>
        <v>0</v>
      </c>
      <c r="W47" s="25">
        <f>'TUSD BE'!$W$47*'TUSD BE'!$W$58</f>
        <v>0</v>
      </c>
      <c r="X47" s="25">
        <f>'TUSD BE'!$X$47*'TUSD BE'!$X$58</f>
        <v>0</v>
      </c>
      <c r="Y47" s="25">
        <f>'TUSD BE'!$Y$47*'TUSD BE'!$Y$58</f>
        <v>62.418475641678917</v>
      </c>
      <c r="Z47" s="25">
        <f>'TUSD BE'!$Z$47*'TUSD BE'!$Z$58</f>
        <v>0</v>
      </c>
      <c r="AA47" s="25">
        <f>'TUSD BE'!$AA$47*'TUSD BE'!$AA$58</f>
        <v>0</v>
      </c>
      <c r="AB47" s="25">
        <f>SUM($U$47:$AA$47)</f>
        <v>62.418475641678917</v>
      </c>
      <c r="AC47" s="25">
        <f>'TUSD BE'!$AC$47*'TUSD BE'!$AC$58</f>
        <v>-11.318178076434245</v>
      </c>
      <c r="AD47" s="25">
        <f>SUM($AC$47:$AC$47)</f>
        <v>-11.318178076434245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BE'!$AH$58</f>
        <v>4.3371179880199549</v>
      </c>
      <c r="AI47" s="25">
        <f>'TUSD BE'!$AI$47*'TUSD BE'!$AI$58</f>
        <v>0</v>
      </c>
      <c r="AJ47" s="25">
        <f ca="1">'TUSD BE'!$AJ$47*'TUSD BE'!$AJ$58</f>
        <v>0.59232525135728331</v>
      </c>
      <c r="AK47" s="25">
        <f ca="1">'TUSD BE'!$AK$47*'TUSD BE'!$AK$58</f>
        <v>0</v>
      </c>
      <c r="AL47" s="25">
        <f ca="1">SUM($AH$47:$AK$47)</f>
        <v>4.9294432393772381</v>
      </c>
      <c r="AM47" s="25">
        <f ca="1">SUMIF($L$4:$AL$4,"SUBTOTAL",$L$47:$AL$47)</f>
        <v>47.726890822465052</v>
      </c>
      <c r="AO47" s="30">
        <f ca="1">+'TUSD BE'!$T$47+'TUSD BE'!$AB$47+'TUSD BE'!$AD$47+'TUSD BE'!$AL$47</f>
        <v>718.10618063947186</v>
      </c>
      <c r="AP47" s="30">
        <f ca="1">+'TUSD BE'!$T$47+'TUSD BE'!$AB$47+'TUSD BE'!$AD$47+'TUSD BE'!$AL$47</f>
        <v>718.10618063947186</v>
      </c>
    </row>
    <row r="48" spans="1:42" ht="11.25" customHeight="1" x14ac:dyDescent="0.3">
      <c r="A48" s="125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25">
        <f>'TUSD BE'!$L$48*'TUSD BE'!$L$58</f>
        <v>0</v>
      </c>
      <c r="M48" s="25">
        <f>'TUSD BE'!$M$48*'TUSD BE'!$M$58</f>
        <v>-0.1576210433689833</v>
      </c>
      <c r="N48" s="25">
        <f ca="1">'TUSD BE'!$N$48*'TUSD BE'!$N$58</f>
        <v>0</v>
      </c>
      <c r="O48" s="25">
        <f>'TUSD BE'!$O$48*'TUSD BE'!$O$58</f>
        <v>0</v>
      </c>
      <c r="P48" s="25">
        <f>'TUSD BE'!$P$48*'TUSD BE'!$P$58</f>
        <v>0</v>
      </c>
      <c r="Q48" s="25">
        <f>'TUSD BE'!$Q$48*'TUSD BE'!$Q$58</f>
        <v>-7.5014559131386029</v>
      </c>
      <c r="R48" s="25">
        <f>'TUSD BE'!$R$48*'TUSD BE'!$R$58</f>
        <v>-0.64377302564927097</v>
      </c>
      <c r="S48" s="25">
        <f>'TUSD BE'!$R$48*'TUSD BE'!$S$58</f>
        <v>0</v>
      </c>
      <c r="T48" s="25">
        <f ca="1">SUM($L$48:$S$48)</f>
        <v>-8.3028499821568573</v>
      </c>
      <c r="U48" s="25">
        <f>'TUSD BE'!$U$48*'TUSD BE'!$U$58</f>
        <v>0</v>
      </c>
      <c r="V48" s="25">
        <f>'TUSD BE'!$V$48*'TUSD BE'!$V$58</f>
        <v>0</v>
      </c>
      <c r="W48" s="25">
        <f>'TUSD BE'!$W$48*'TUSD BE'!$W$58</f>
        <v>0</v>
      </c>
      <c r="X48" s="25">
        <f>'TUSD BE'!$X$48*'TUSD BE'!$X$58</f>
        <v>0</v>
      </c>
      <c r="Y48" s="25">
        <f>'TUSD BE'!$Y$48*'TUSD BE'!$Y$58</f>
        <v>91.791423122070853</v>
      </c>
      <c r="Z48" s="25">
        <f>'TUSD BE'!$Z$48*'TUSD BE'!$Z$58</f>
        <v>0</v>
      </c>
      <c r="AA48" s="25">
        <f>'TUSD BE'!$AA$48*'TUSD BE'!$AA$58</f>
        <v>0</v>
      </c>
      <c r="AB48" s="25">
        <f>SUM($U$48:$AA$48)</f>
        <v>91.791423122070853</v>
      </c>
      <c r="AC48" s="25">
        <f>'TUSD BE'!$AC$48*'TUSD BE'!$AC$58</f>
        <v>-16.644379096842702</v>
      </c>
      <c r="AD48" s="25">
        <f>SUM($AC$48:$AC$48)</f>
        <v>-16.644379096842702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BE'!$AH$58</f>
        <v>4.3371179880199549</v>
      </c>
      <c r="AI48" s="25">
        <f>'TUSD BE'!$AI$48*'TUSD BE'!$AI$58</f>
        <v>0</v>
      </c>
      <c r="AJ48" s="25">
        <f ca="1">'TUSD BE'!$AJ$48*'TUSD BE'!$AJ$58</f>
        <v>0.59232525135728331</v>
      </c>
      <c r="AK48" s="25">
        <f ca="1">'TUSD BE'!$AK$48*'TUSD BE'!$AK$58</f>
        <v>0</v>
      </c>
      <c r="AL48" s="25">
        <f ca="1">SUM($AH$48:$AK$48)</f>
        <v>4.9294432393772381</v>
      </c>
      <c r="AM48" s="25">
        <f ca="1">SUMIF($L$4:$AL$4,"SUBTOTAL",$L$48:$AL$48)</f>
        <v>71.773637282448533</v>
      </c>
      <c r="AO48" s="30">
        <f ca="1">+'TUSD BE'!$T$48+'TUSD BE'!$AB$48+'TUSD BE'!$AD$48+'TUSD BE'!$AL$48</f>
        <v>974.69732838639129</v>
      </c>
      <c r="AP48" s="30">
        <f ca="1">+'TUSD BE'!$T$48+'TUSD BE'!$AB$48+'TUSD BE'!$AD$48+'TUSD BE'!$AL$48</f>
        <v>974.69732838639129</v>
      </c>
    </row>
    <row r="49" spans="1:42" ht="11.25" customHeight="1" x14ac:dyDescent="0.3">
      <c r="A49" s="125"/>
      <c r="B49" s="28" t="s">
        <v>84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25">
        <f>'TUSD BE'!$L$49*'TUSD BE'!$L$58</f>
        <v>0</v>
      </c>
      <c r="M49" s="25">
        <f>'TUSD BE'!$M$49*'TUSD BE'!$M$58</f>
        <v>-0.1576210433689833</v>
      </c>
      <c r="N49" s="25">
        <f ca="1">'TUSD BE'!$N$49*'TUSD BE'!$N$58</f>
        <v>0</v>
      </c>
      <c r="O49" s="25">
        <f>'TUSD BE'!$O$49*'TUSD BE'!$O$58</f>
        <v>0</v>
      </c>
      <c r="P49" s="25">
        <f>'TUSD BE'!$P$49*'TUSD BE'!$P$58</f>
        <v>0</v>
      </c>
      <c r="Q49" s="25">
        <f>'TUSD BE'!$Q$49*'TUSD BE'!$Q$58</f>
        <v>-7.5014559131386029</v>
      </c>
      <c r="R49" s="25">
        <f>'TUSD BE'!$R$49*'TUSD BE'!$R$58</f>
        <v>-0.64377302564927097</v>
      </c>
      <c r="S49" s="25">
        <f>'TUSD BE'!$R$49*'TUSD BE'!$S$58</f>
        <v>0</v>
      </c>
      <c r="T49" s="25">
        <f ca="1">SUM($L$49:$S$49)</f>
        <v>-8.3028499821568573</v>
      </c>
      <c r="U49" s="25">
        <f>'TUSD BE'!$U$49*'TUSD BE'!$U$58</f>
        <v>0</v>
      </c>
      <c r="V49" s="25">
        <f>'TUSD BE'!$V$49*'TUSD BE'!$V$58</f>
        <v>0</v>
      </c>
      <c r="W49" s="25">
        <f>'TUSD BE'!$W$49*'TUSD BE'!$W$58</f>
        <v>0</v>
      </c>
      <c r="X49" s="25">
        <f>'TUSD BE'!$X$49*'TUSD BE'!$X$58</f>
        <v>0</v>
      </c>
      <c r="Y49" s="25">
        <f>'TUSD BE'!$Y$49*'TUSD BE'!$Y$58</f>
        <v>91.791423122070853</v>
      </c>
      <c r="Z49" s="25">
        <f>'TUSD BE'!$Z$49*'TUSD BE'!$Z$58</f>
        <v>0</v>
      </c>
      <c r="AA49" s="25">
        <f>'TUSD BE'!$AA$49*'TUSD BE'!$AA$58</f>
        <v>0</v>
      </c>
      <c r="AB49" s="25">
        <f>SUM($U$49:$AA$49)</f>
        <v>91.791423122070853</v>
      </c>
      <c r="AC49" s="25">
        <f>'TUSD BE'!$AC$49*'TUSD BE'!$AC$58</f>
        <v>-16.644379096842702</v>
      </c>
      <c r="AD49" s="25">
        <f>SUM($AC$49:$AC$49)</f>
        <v>-16.644379096842702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BE'!$AH$58</f>
        <v>4.3371179880199549</v>
      </c>
      <c r="AI49" s="25">
        <f>'TUSD BE'!$AI$49*'TUSD BE'!$AI$58</f>
        <v>0</v>
      </c>
      <c r="AJ49" s="25">
        <f ca="1">'TUSD BE'!$AJ$49*'TUSD BE'!$AJ$58</f>
        <v>0.59232525135728331</v>
      </c>
      <c r="AK49" s="25">
        <f ca="1">'TUSD BE'!$AK$49*'TUSD BE'!$AK$58</f>
        <v>0</v>
      </c>
      <c r="AL49" s="25">
        <f ca="1">SUM($AH$49:$AK$49)</f>
        <v>4.9294432393772381</v>
      </c>
      <c r="AM49" s="25">
        <f ca="1">SUMIF($L$4:$AL$4,"SUBTOTAL",$L$49:$AL$49)</f>
        <v>71.773637282448533</v>
      </c>
      <c r="AO49" s="30">
        <f ca="1">+'TUSD BE'!$T$49+'TUSD BE'!$AB$49+'TUSD BE'!$AD$49+'TUSD BE'!$AL$49</f>
        <v>974.69732838639129</v>
      </c>
      <c r="AP49" s="30">
        <f ca="1">+'TUSD BE'!$T$49+'TUSD BE'!$AB$49+'TUSD BE'!$AD$49+'TUSD BE'!$AL$49</f>
        <v>974.69732838639129</v>
      </c>
    </row>
    <row r="50" spans="1:42" ht="11.25" customHeight="1" x14ac:dyDescent="0.3">
      <c r="A50" s="125" t="s">
        <v>43</v>
      </c>
      <c r="B50" s="125" t="s">
        <v>23</v>
      </c>
      <c r="C50" s="125" t="s">
        <v>44</v>
      </c>
      <c r="D50" s="28" t="s">
        <v>45</v>
      </c>
      <c r="E50" s="28" t="s">
        <v>25</v>
      </c>
      <c r="F50" s="28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25">
        <f>'TUSD BE'!$L$50*'TUSD BE'!$L$58</f>
        <v>0</v>
      </c>
      <c r="M50" s="25">
        <f>'TUSD BE'!$M$50*'TUSD BE'!$M$58</f>
        <v>-8.3539152985561166E-2</v>
      </c>
      <c r="N50" s="25">
        <f ca="1">'TUSD BE'!$N$50*'TUSD BE'!$N$58</f>
        <v>0</v>
      </c>
      <c r="O50" s="25">
        <f>'TUSD BE'!$O$50*'TUSD BE'!$O$58</f>
        <v>0</v>
      </c>
      <c r="P50" s="25">
        <f>'TUSD BE'!$P$50*'TUSD BE'!$P$58</f>
        <v>0</v>
      </c>
      <c r="Q50" s="25">
        <f>'TUSD BE'!$Q$50*'TUSD BE'!$Q$58</f>
        <v>-3.9757716339634595</v>
      </c>
      <c r="R50" s="25">
        <f>'TUSD BE'!$R$50*'TUSD BE'!$R$58</f>
        <v>-0.34119970359411361</v>
      </c>
      <c r="S50" s="25">
        <f>'TUSD BE'!$R$50*'TUSD BE'!$S$58</f>
        <v>0</v>
      </c>
      <c r="T50" s="25">
        <f ca="1">SUM($L$50:$S$50)</f>
        <v>-4.4005104905431338</v>
      </c>
      <c r="U50" s="25">
        <f>'TUSD BE'!$U$50*'TUSD BE'!$U$58</f>
        <v>0</v>
      </c>
      <c r="V50" s="25">
        <f>'TUSD BE'!$V$50*'TUSD BE'!$V$58</f>
        <v>0</v>
      </c>
      <c r="W50" s="25">
        <f>'TUSD BE'!$W$50*'TUSD BE'!$W$58</f>
        <v>0</v>
      </c>
      <c r="X50" s="25">
        <f>'TUSD BE'!$X$50*'TUSD BE'!$X$58</f>
        <v>0</v>
      </c>
      <c r="Y50" s="25">
        <f>'TUSD BE'!$Y$50*'TUSD BE'!$Y$58</f>
        <v>48.649454254697559</v>
      </c>
      <c r="Z50" s="25">
        <f>'TUSD BE'!$Z$50*'TUSD BE'!$Z$58</f>
        <v>0</v>
      </c>
      <c r="AA50" s="25">
        <f>'TUSD BE'!$AA$50*'TUSD BE'!$AA$58</f>
        <v>0</v>
      </c>
      <c r="AB50" s="25">
        <f>SUM($U$50:$AA$50)</f>
        <v>48.649454254697559</v>
      </c>
      <c r="AC50" s="25">
        <f>'TUSD BE'!$AC$50*'TUSD BE'!$AC$58</f>
        <v>-8.8215209213266306</v>
      </c>
      <c r="AD50" s="25">
        <f>SUM($AC$50:$AC$50)</f>
        <v>-8.8215209213266306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BE'!$AH$58</f>
        <v>2.2986725336505764</v>
      </c>
      <c r="AI50" s="25">
        <f>'TUSD BE'!$AI$50*'TUSD BE'!$AI$58</f>
        <v>0</v>
      </c>
      <c r="AJ50" s="25">
        <f ca="1">'TUSD BE'!$AJ$50*'TUSD BE'!$AJ$58</f>
        <v>0.31393238321936012</v>
      </c>
      <c r="AK50" s="25">
        <f ca="1">'TUSD BE'!$AK$50*'TUSD BE'!$AK$58</f>
        <v>0</v>
      </c>
      <c r="AL50" s="25">
        <f ca="1">SUM($AH$50:$AK$50)</f>
        <v>2.6126049168699366</v>
      </c>
      <c r="AM50" s="25">
        <f ca="1">SUMIF($L$4:$AL$4,"SUBTOTAL",$L$50:$AL$50)</f>
        <v>38.040027759697729</v>
      </c>
      <c r="AO50" s="30">
        <f ca="1">+'TUSD BE'!$T$50+'TUSD BE'!$AB$50+'TUSD BE'!$AD$50+'TUSD BE'!$AL$50</f>
        <v>516.58958404478744</v>
      </c>
      <c r="AP50" s="30">
        <f ca="1">+'TUSD BE'!$T$50+'TUSD BE'!$AB$50+'TUSD BE'!$AD$50+'TUSD BE'!$AL$50</f>
        <v>516.58958404478744</v>
      </c>
    </row>
    <row r="51" spans="1:42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25">
        <f>'TUSD BE'!$L$51*'TUSD BE'!$L$58</f>
        <v>0</v>
      </c>
      <c r="M51" s="25">
        <f>'TUSD BE'!$M$51*'TUSD BE'!$M$58</f>
        <v>-9.1420205154010337E-2</v>
      </c>
      <c r="N51" s="25">
        <f ca="1">'TUSD BE'!$N$51*'TUSD BE'!$N$58</f>
        <v>0</v>
      </c>
      <c r="O51" s="25">
        <f>'TUSD BE'!$O$51*'TUSD BE'!$O$58</f>
        <v>0</v>
      </c>
      <c r="P51" s="25">
        <f>'TUSD BE'!$P$51*'TUSD BE'!$P$58</f>
        <v>0</v>
      </c>
      <c r="Q51" s="25">
        <f>'TUSD BE'!$Q$51*'TUSD BE'!$Q$58</f>
        <v>-4.3508444296203894</v>
      </c>
      <c r="R51" s="25">
        <f>'TUSD BE'!$R$51*'TUSD BE'!$R$58</f>
        <v>-0.37338835487657718</v>
      </c>
      <c r="S51" s="25">
        <f>'TUSD BE'!$R$51*'TUSD BE'!$S$58</f>
        <v>0</v>
      </c>
      <c r="T51" s="25">
        <f ca="1">SUM($L$51:$S$51)</f>
        <v>-4.8156529896509772</v>
      </c>
      <c r="U51" s="25">
        <f>'TUSD BE'!$U$51*'TUSD BE'!$U$58</f>
        <v>0</v>
      </c>
      <c r="V51" s="25">
        <f>'TUSD BE'!$V$51*'TUSD BE'!$V$58</f>
        <v>0</v>
      </c>
      <c r="W51" s="25">
        <f>'TUSD BE'!$W$51*'TUSD BE'!$W$58</f>
        <v>0</v>
      </c>
      <c r="X51" s="25">
        <f>'TUSD BE'!$X$51*'TUSD BE'!$X$58</f>
        <v>0</v>
      </c>
      <c r="Y51" s="25">
        <f>'TUSD BE'!$Y$51*'TUSD BE'!$Y$58</f>
        <v>53.239025410801105</v>
      </c>
      <c r="Z51" s="25">
        <f>'TUSD BE'!$Z$51*'TUSD BE'!$Z$58</f>
        <v>0</v>
      </c>
      <c r="AA51" s="25">
        <f>'TUSD BE'!$AA$51*'TUSD BE'!$AA$58</f>
        <v>0</v>
      </c>
      <c r="AB51" s="25">
        <f>SUM($U$51:$AA$51)</f>
        <v>53.239025410801105</v>
      </c>
      <c r="AC51" s="25">
        <f>'TUSD BE'!$AC$51*'TUSD BE'!$AC$58</f>
        <v>-9.6537398761687676</v>
      </c>
      <c r="AD51" s="25">
        <f>SUM($AC$51:$AC$51)</f>
        <v>-9.6537398761687676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BE'!$AH$58</f>
        <v>2.5155284330515744</v>
      </c>
      <c r="AI51" s="25">
        <f>'TUSD BE'!$AI$51*'TUSD BE'!$AI$58</f>
        <v>0</v>
      </c>
      <c r="AJ51" s="25">
        <f ca="1">'TUSD BE'!$AJ$51*'TUSD BE'!$AJ$58</f>
        <v>0.34354864578722433</v>
      </c>
      <c r="AK51" s="25">
        <f ca="1">'TUSD BE'!$AK$51*'TUSD BE'!$AK$58</f>
        <v>0</v>
      </c>
      <c r="AL51" s="25">
        <f ca="1">SUM($AH$51:$AK$51)</f>
        <v>2.8590770788387987</v>
      </c>
      <c r="AM51" s="25">
        <f ca="1">SUMIF($L$4:$AL$4,"SUBTOTAL",$L$51:$AL$51)</f>
        <v>41.628709623820164</v>
      </c>
      <c r="AO51" s="30">
        <f ca="1">+'TUSD BE'!$T$51+'TUSD BE'!$AB$51+'TUSD BE'!$AD$51+'TUSD BE'!$AL$51</f>
        <v>565.32445046410703</v>
      </c>
      <c r="AP51" s="30">
        <f ca="1">+'TUSD BE'!$T$51+'TUSD BE'!$AB$51+'TUSD BE'!$AD$51+'TUSD BE'!$AL$51</f>
        <v>565.32445046410703</v>
      </c>
    </row>
    <row r="53" spans="1:42" ht="11.25" customHeight="1" x14ac:dyDescent="0.3">
      <c r="K53" s="27" t="s">
        <v>456</v>
      </c>
      <c r="L53" s="25">
        <f>SUMPRODUCT($I$5:$I51,$L$5:$L51)</f>
        <v>0</v>
      </c>
      <c r="M53" s="25">
        <f>SUMPRODUCT($I$5:$I51,$M$5:$M51)</f>
        <v>-3035.8732116039232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-144857.12853692571</v>
      </c>
      <c r="R53" s="25">
        <f>SUMPRODUCT($I$5:$I51,$R$5:$R51)</f>
        <v>-12708.347033321959</v>
      </c>
      <c r="S53" s="25">
        <f>SUMPRODUCT($I$5:$I51,$S$5:$S51)</f>
        <v>0</v>
      </c>
      <c r="T53" s="25">
        <f ca="1">SUMPRODUCT($I$5:$I51,$T$5:$T51)</f>
        <v>-160601.34878185159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1764642.8512380794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1764642.8512380794</v>
      </c>
      <c r="AC53" s="25">
        <f>SUMPRODUCT($I$5:$I51,$AC$5:$AC51)</f>
        <v>-320580.44753324438</v>
      </c>
      <c r="AD53" s="25">
        <f>SUMPRODUCT($I$5:$I51,$AD$5:$AD51)</f>
        <v>-320580.44753324438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80207.561574186955</v>
      </c>
      <c r="AI53" s="25">
        <f>SUMPRODUCT($I$5:$I51,$AI$5:$AI51)</f>
        <v>0</v>
      </c>
      <c r="AJ53" s="25">
        <f ca="1">SUMPRODUCT($I$5:$I51,$AJ$5:$AJ51)</f>
        <v>11443.793615894519</v>
      </c>
      <c r="AK53" s="25">
        <f ca="1">SUMPRODUCT($I$5:$I51,$AK$5:$AK51)</f>
        <v>0</v>
      </c>
      <c r="AL53" s="25">
        <f ca="1">SUMPRODUCT($I$5:$I51,$AL$5:$AL51)</f>
        <v>91651.355190081464</v>
      </c>
      <c r="AM53" s="25">
        <f ca="1">SUMPRODUCT($I$5:$I51,$AM$5:$AM51)</f>
        <v>1375112.410113065</v>
      </c>
      <c r="AO53" s="21">
        <f ca="1">SUMPRODUCT($I$5:$I51,$AO$5:$AO51)</f>
        <v>18762404.246863116</v>
      </c>
      <c r="AP53" s="21">
        <f ca="1">SUMPRODUCT($I$5:$I51,$AP$5:$AP51)</f>
        <v>18762404.246863116</v>
      </c>
    </row>
    <row r="54" spans="1:42" ht="11.25" customHeight="1" x14ac:dyDescent="0.3">
      <c r="K54" s="27" t="s">
        <v>388</v>
      </c>
      <c r="L54" s="25">
        <f>'TR TUSD'!$L$56</f>
        <v>940401.95930646476</v>
      </c>
      <c r="M54" s="25">
        <f>'TR TUSD'!$M$56</f>
        <v>48815.20758835032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1670551.4433299995</v>
      </c>
      <c r="R54" s="25">
        <f>'TR TUSD'!$R$56</f>
        <v>283354.38656999997</v>
      </c>
      <c r="S54" s="25">
        <f>'TR TUSD'!$S$56</f>
        <v>0</v>
      </c>
      <c r="T54" s="25">
        <f>'TR TUSD'!$T$56</f>
        <v>2943122.9967948147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5653993.3905727211</v>
      </c>
      <c r="Z54" s="25">
        <f>'TR TUSD'!$Z$56</f>
        <v>0</v>
      </c>
      <c r="AA54" s="25">
        <f>'TR TUSD'!$AA$56</f>
        <v>0</v>
      </c>
      <c r="AB54" s="25">
        <f>'TR TUSD'!$AB$56</f>
        <v>5653993.3905727211</v>
      </c>
      <c r="AC54" s="25">
        <f>'TR TUSD'!$AC$56</f>
        <v>9779497.2699999996</v>
      </c>
      <c r="AD54" s="25">
        <f>'TR TUSD'!$AD$56</f>
        <v>9779497.2699999996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337619.91186636908</v>
      </c>
      <c r="AI54" s="25">
        <f>'TR TUSD'!$AI$56</f>
        <v>0</v>
      </c>
      <c r="AJ54" s="25">
        <f>'TR TUSD'!$AJ$56</f>
        <v>48170.677629210666</v>
      </c>
      <c r="AK54" s="25">
        <f>'TR TUSD'!$AK$56</f>
        <v>0</v>
      </c>
      <c r="AL54" s="25">
        <f>'TR TUSD'!$AL$56</f>
        <v>385790.58949557971</v>
      </c>
      <c r="AM54" s="25">
        <f>'TUSD BE'!$AM$54</f>
        <v>18762404.246863116</v>
      </c>
      <c r="AO54" s="21">
        <f>$AE$55</f>
        <v>0</v>
      </c>
      <c r="AP54" s="21">
        <f>$AF$55</f>
        <v>0</v>
      </c>
    </row>
    <row r="55" spans="1:42" ht="11.25" customHeight="1" x14ac:dyDescent="0.3">
      <c r="K55" s="27" t="s">
        <v>389</v>
      </c>
      <c r="L55" s="25">
        <f>CUSTOS!$E$2</f>
        <v>0</v>
      </c>
      <c r="M55" s="25">
        <f>CUSTOS!$E$3</f>
        <v>-3035.8732116039228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-144857.12853692571</v>
      </c>
      <c r="R55" s="25">
        <f>CUSTOS!$E$8</f>
        <v>-12708.347033321957</v>
      </c>
      <c r="S55" s="25">
        <f>CUSTOS!$E$9</f>
        <v>0</v>
      </c>
      <c r="T55" s="25">
        <f>CUSTOS!$E$10</f>
        <v>-160601.34878185159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1764642.8512380794</v>
      </c>
      <c r="Z55" s="25">
        <f>CUSTOS!$E$16</f>
        <v>0</v>
      </c>
      <c r="AA55" s="25">
        <f>CUSTOS!$E$17</f>
        <v>0</v>
      </c>
      <c r="AB55" s="25">
        <f>CUSTOS!$E$18</f>
        <v>1764642.8512380794</v>
      </c>
      <c r="AC55" s="25">
        <f>CUSTOS!$E$19</f>
        <v>-320580.44753324438</v>
      </c>
      <c r="AD55" s="25">
        <f>CUSTOS!$E$20</f>
        <v>-320580.44753324438</v>
      </c>
      <c r="AE55" s="25">
        <f>CUSTOS!$E$21</f>
        <v>0</v>
      </c>
      <c r="AF55" s="25">
        <f>CUSTOS!$E$22</f>
        <v>0</v>
      </c>
      <c r="AG55" s="25">
        <f>CUSTOS!$E$23</f>
        <v>0</v>
      </c>
      <c r="AH55" s="25">
        <f>CUSTOS!$E$24</f>
        <v>80207.561574186955</v>
      </c>
      <c r="AI55" s="25">
        <f>CUSTOS!$E$25</f>
        <v>0</v>
      </c>
      <c r="AJ55" s="25">
        <f>CUSTOS!$E$26</f>
        <v>11443.793615894519</v>
      </c>
      <c r="AK55" s="25">
        <f>CUSTOS!$E$27</f>
        <v>0</v>
      </c>
      <c r="AL55" s="25">
        <f>CUSTOS!$E$28</f>
        <v>91651.355190081478</v>
      </c>
      <c r="AM55" s="25">
        <f>CUSTOS!$E$29</f>
        <v>1375112.410113065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3">
      <c r="K56" s="27" t="s">
        <v>390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3">
      <c r="K57" s="27" t="s">
        <v>453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f>SUM($L$57:$S$57)</f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f>SUM($U$57:$AA$57)</f>
        <v>0</v>
      </c>
      <c r="AC57" s="25">
        <v>0</v>
      </c>
      <c r="AD57" s="25">
        <f>SUM($AC$57:$AC$57)</f>
        <v>0</v>
      </c>
      <c r="AE57" s="25">
        <v>0</v>
      </c>
      <c r="AF57" s="25">
        <v>0</v>
      </c>
      <c r="AG57" s="25">
        <f>SUM($AE$57:$AF$57)</f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f>SUM($AH$57:$AK$57)</f>
        <v>0</v>
      </c>
      <c r="AM57" s="25"/>
    </row>
    <row r="58" spans="1:42" ht="11.25" customHeight="1" x14ac:dyDescent="0.3">
      <c r="K58" s="27" t="s">
        <v>465</v>
      </c>
      <c r="L58" s="25">
        <f t="shared" ref="L58:R58" si="0">IF((L54-(0))&lt;&gt;0,(L56)/(L54-(0)),0)</f>
        <v>0</v>
      </c>
      <c r="M58" s="25">
        <f t="shared" si="0"/>
        <v>0</v>
      </c>
      <c r="N58" s="25">
        <f t="shared" si="0"/>
        <v>0</v>
      </c>
      <c r="O58" s="25">
        <f t="shared" si="0"/>
        <v>0</v>
      </c>
      <c r="P58" s="25">
        <f t="shared" si="0"/>
        <v>0</v>
      </c>
      <c r="Q58" s="25">
        <f t="shared" si="0"/>
        <v>0</v>
      </c>
      <c r="R58" s="25">
        <f t="shared" si="0"/>
        <v>0</v>
      </c>
      <c r="S58" s="25">
        <f>IF((R53-(0)&lt;&gt;0),(S55)/(R53-(0)),0)</f>
        <v>0</v>
      </c>
      <c r="T58" s="25"/>
      <c r="U58" s="25">
        <f t="shared" ref="U58:AA58" si="1">IF((U54-(0))&lt;&gt;0,(U56)/(U54-(0)),0)</f>
        <v>0</v>
      </c>
      <c r="V58" s="25">
        <f t="shared" si="1"/>
        <v>0</v>
      </c>
      <c r="W58" s="25">
        <f t="shared" si="1"/>
        <v>0</v>
      </c>
      <c r="X58" s="25">
        <f t="shared" si="1"/>
        <v>0</v>
      </c>
      <c r="Y58" s="25">
        <f t="shared" si="1"/>
        <v>0</v>
      </c>
      <c r="Z58" s="25">
        <f t="shared" si="1"/>
        <v>0</v>
      </c>
      <c r="AA58" s="25">
        <f t="shared" si="1"/>
        <v>0</v>
      </c>
      <c r="AB58" s="25"/>
      <c r="AC58" s="25">
        <f>IF((AC54-(0))&lt;&gt;0,(AC56)/(AC54-(0)),0)</f>
        <v>0</v>
      </c>
      <c r="AD58" s="25"/>
      <c r="AE58" s="25">
        <f ca="1">IF(($AM53-(0))&lt;&gt;0,(AE55)/($AM53-(0)),0)</f>
        <v>0</v>
      </c>
      <c r="AF58" s="25">
        <f ca="1">IF(($AM53-(0))&lt;&gt;0,(AF55)/($AM53-(0)),0)</f>
        <v>0</v>
      </c>
      <c r="AG58" s="25"/>
      <c r="AH58" s="25">
        <f>IF((AH54-(0))&lt;&gt;0,(AH56)/(AH54-(0)),0)</f>
        <v>0</v>
      </c>
      <c r="AI58" s="25">
        <f>IF((AI54-(0))&lt;&gt;0,(AI56)/(AI54-(0)),0)</f>
        <v>0</v>
      </c>
      <c r="AJ58" s="25">
        <f>IF((AJ54-(0))&lt;&gt;0,(AJ56)/(AJ54-(0)),0)</f>
        <v>0</v>
      </c>
      <c r="AK58" s="25">
        <f>IF((AK54-(0))&lt;&gt;0,(AK56)/(AK54-(0)),0)</f>
        <v>0</v>
      </c>
      <c r="AL58" s="25"/>
      <c r="AM58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41" priority="55" operator="notEqual">
      <formula>$L$55</formula>
    </cfRule>
    <cfRule type="cellIs" dxfId="740" priority="56" operator="equal">
      <formula>$L$55</formula>
    </cfRule>
  </conditionalFormatting>
  <conditionalFormatting sqref="M53">
    <cfRule type="cellIs" dxfId="739" priority="53" operator="notEqual">
      <formula>$M$55</formula>
    </cfRule>
    <cfRule type="cellIs" dxfId="738" priority="54" operator="equal">
      <formula>$M$55</formula>
    </cfRule>
  </conditionalFormatting>
  <conditionalFormatting sqref="N53">
    <cfRule type="cellIs" dxfId="737" priority="51" operator="notEqual">
      <formula>$N$55</formula>
    </cfRule>
    <cfRule type="cellIs" dxfId="736" priority="52" operator="equal">
      <formula>$N$55</formula>
    </cfRule>
  </conditionalFormatting>
  <conditionalFormatting sqref="O53">
    <cfRule type="cellIs" dxfId="735" priority="49" operator="notEqual">
      <formula>$O$55</formula>
    </cfRule>
    <cfRule type="cellIs" dxfId="734" priority="50" operator="equal">
      <formula>$O$55</formula>
    </cfRule>
  </conditionalFormatting>
  <conditionalFormatting sqref="P53">
    <cfRule type="cellIs" dxfId="733" priority="47" operator="notEqual">
      <formula>$P$55</formula>
    </cfRule>
    <cfRule type="cellIs" dxfId="732" priority="48" operator="equal">
      <formula>$P$55</formula>
    </cfRule>
  </conditionalFormatting>
  <conditionalFormatting sqref="Q53">
    <cfRule type="cellIs" dxfId="731" priority="45" operator="notEqual">
      <formula>$Q$55</formula>
    </cfRule>
    <cfRule type="cellIs" dxfId="730" priority="46" operator="equal">
      <formula>$Q$55</formula>
    </cfRule>
  </conditionalFormatting>
  <conditionalFormatting sqref="R53">
    <cfRule type="cellIs" dxfId="729" priority="43" operator="notEqual">
      <formula>$R$55</formula>
    </cfRule>
    <cfRule type="cellIs" dxfId="728" priority="44" operator="equal">
      <formula>$R$55</formula>
    </cfRule>
  </conditionalFormatting>
  <conditionalFormatting sqref="S53">
    <cfRule type="cellIs" dxfId="727" priority="41" operator="notEqual">
      <formula>$S$55</formula>
    </cfRule>
    <cfRule type="cellIs" dxfId="726" priority="42" operator="equal">
      <formula>$S$55</formula>
    </cfRule>
  </conditionalFormatting>
  <conditionalFormatting sqref="T53">
    <cfRule type="cellIs" dxfId="725" priority="39" operator="notEqual">
      <formula>$T$55</formula>
    </cfRule>
    <cfRule type="cellIs" dxfId="724" priority="40" operator="equal">
      <formula>$T$55</formula>
    </cfRule>
  </conditionalFormatting>
  <conditionalFormatting sqref="U53">
    <cfRule type="cellIs" dxfId="723" priority="37" operator="notEqual">
      <formula>$U$55</formula>
    </cfRule>
    <cfRule type="cellIs" dxfId="722" priority="38" operator="equal">
      <formula>$U$55</formula>
    </cfRule>
  </conditionalFormatting>
  <conditionalFormatting sqref="V53">
    <cfRule type="cellIs" dxfId="721" priority="35" operator="notEqual">
      <formula>$V$55</formula>
    </cfRule>
    <cfRule type="cellIs" dxfId="720" priority="36" operator="equal">
      <formula>$V$55</formula>
    </cfRule>
  </conditionalFormatting>
  <conditionalFormatting sqref="W53">
    <cfRule type="cellIs" dxfId="719" priority="33" operator="notEqual">
      <formula>$W$55</formula>
    </cfRule>
    <cfRule type="cellIs" dxfId="718" priority="34" operator="equal">
      <formula>$W$55</formula>
    </cfRule>
  </conditionalFormatting>
  <conditionalFormatting sqref="X53">
    <cfRule type="cellIs" dxfId="717" priority="31" operator="notEqual">
      <formula>$X$55</formula>
    </cfRule>
    <cfRule type="cellIs" dxfId="716" priority="32" operator="equal">
      <formula>$X$55</formula>
    </cfRule>
  </conditionalFormatting>
  <conditionalFormatting sqref="Y53">
    <cfRule type="cellIs" dxfId="715" priority="29" operator="notEqual">
      <formula>$Y$55</formula>
    </cfRule>
    <cfRule type="cellIs" dxfId="714" priority="30" operator="equal">
      <formula>$Y$55</formula>
    </cfRule>
  </conditionalFormatting>
  <conditionalFormatting sqref="Z53">
    <cfRule type="cellIs" dxfId="713" priority="27" operator="notEqual">
      <formula>$Z$55</formula>
    </cfRule>
    <cfRule type="cellIs" dxfId="712" priority="28" operator="equal">
      <formula>$Z$55</formula>
    </cfRule>
  </conditionalFormatting>
  <conditionalFormatting sqref="AA53">
    <cfRule type="cellIs" dxfId="711" priority="25" operator="notEqual">
      <formula>$AA$55</formula>
    </cfRule>
    <cfRule type="cellIs" dxfId="710" priority="26" operator="equal">
      <formula>$AA$55</formula>
    </cfRule>
  </conditionalFormatting>
  <conditionalFormatting sqref="AB53">
    <cfRule type="cellIs" dxfId="709" priority="23" operator="notEqual">
      <formula>$AB$55</formula>
    </cfRule>
    <cfRule type="cellIs" dxfId="708" priority="24" operator="equal">
      <formula>$AB$55</formula>
    </cfRule>
  </conditionalFormatting>
  <conditionalFormatting sqref="AC53">
    <cfRule type="cellIs" dxfId="707" priority="21" operator="notEqual">
      <formula>$AC$55</formula>
    </cfRule>
    <cfRule type="cellIs" dxfId="706" priority="22" operator="equal">
      <formula>$AC$55</formula>
    </cfRule>
  </conditionalFormatting>
  <conditionalFormatting sqref="AD53">
    <cfRule type="cellIs" dxfId="705" priority="19" operator="notEqual">
      <formula>$AD$55</formula>
    </cfRule>
    <cfRule type="cellIs" dxfId="704" priority="20" operator="equal">
      <formula>$AD$55</formula>
    </cfRule>
  </conditionalFormatting>
  <conditionalFormatting sqref="AE53">
    <cfRule type="cellIs" dxfId="703" priority="17" operator="notEqual">
      <formula>$AE$55</formula>
    </cfRule>
    <cfRule type="cellIs" dxfId="702" priority="18" operator="equal">
      <formula>$AE$55</formula>
    </cfRule>
  </conditionalFormatting>
  <conditionalFormatting sqref="AF53">
    <cfRule type="cellIs" dxfId="701" priority="16" operator="equal">
      <formula>$AF$55</formula>
    </cfRule>
  </conditionalFormatting>
  <conditionalFormatting sqref="AF53">
    <cfRule type="cellIs" dxfId="700" priority="15" operator="notEqual">
      <formula>$AF$55</formula>
    </cfRule>
  </conditionalFormatting>
  <conditionalFormatting sqref="AG53">
    <cfRule type="cellIs" dxfId="699" priority="14" operator="equal">
      <formula>$AG$55</formula>
    </cfRule>
  </conditionalFormatting>
  <conditionalFormatting sqref="AG53">
    <cfRule type="cellIs" dxfId="698" priority="13" operator="notEqual">
      <formula>$AG$55</formula>
    </cfRule>
  </conditionalFormatting>
  <conditionalFormatting sqref="AH53">
    <cfRule type="cellIs" dxfId="697" priority="12" operator="equal">
      <formula>$AH$55</formula>
    </cfRule>
  </conditionalFormatting>
  <conditionalFormatting sqref="AH53">
    <cfRule type="cellIs" dxfId="696" priority="11" operator="notEqual">
      <formula>$AH$55</formula>
    </cfRule>
  </conditionalFormatting>
  <conditionalFormatting sqref="AI53">
    <cfRule type="cellIs" dxfId="695" priority="10" operator="equal">
      <formula>$AI$55</formula>
    </cfRule>
  </conditionalFormatting>
  <conditionalFormatting sqref="AI53">
    <cfRule type="cellIs" dxfId="694" priority="9" operator="notEqual">
      <formula>$AI$55</formula>
    </cfRule>
  </conditionalFormatting>
  <conditionalFormatting sqref="AJ53">
    <cfRule type="cellIs" dxfId="693" priority="8" operator="equal">
      <formula>$AJ$55</formula>
    </cfRule>
  </conditionalFormatting>
  <conditionalFormatting sqref="AJ53">
    <cfRule type="cellIs" dxfId="692" priority="7" operator="notEqual">
      <formula>$AJ$55</formula>
    </cfRule>
  </conditionalFormatting>
  <conditionalFormatting sqref="AK53">
    <cfRule type="cellIs" dxfId="691" priority="6" operator="equal">
      <formula>$AK$55</formula>
    </cfRule>
  </conditionalFormatting>
  <conditionalFormatting sqref="AK53">
    <cfRule type="cellIs" dxfId="690" priority="5" operator="notEqual">
      <formula>$AK$55</formula>
    </cfRule>
  </conditionalFormatting>
  <conditionalFormatting sqref="AL53">
    <cfRule type="cellIs" dxfId="689" priority="4" operator="equal">
      <formula>$AL$55</formula>
    </cfRule>
  </conditionalFormatting>
  <conditionalFormatting sqref="AL53">
    <cfRule type="cellIs" dxfId="688" priority="3" operator="notEqual">
      <formula>$AL$55</formula>
    </cfRule>
  </conditionalFormatting>
  <conditionalFormatting sqref="AM53">
    <cfRule type="cellIs" dxfId="687" priority="2" operator="equal">
      <formula>$AM$55</formula>
    </cfRule>
  </conditionalFormatting>
  <conditionalFormatting sqref="AM53">
    <cfRule type="cellIs" dxfId="686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29B-258B-48AE-BA90-CC4FB523B8C8}">
  <dimension ref="A1:AP57"/>
  <sheetViews>
    <sheetView showGridLines="0" topLeftCell="AB38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4" width="4.109375" style="9" bestFit="1" customWidth="1"/>
    <col min="15" max="16" width="4.8867187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467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O1" s="30"/>
      <c r="AP1" s="126" t="s">
        <v>449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O2" s="30"/>
      <c r="AP2" s="127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/>
      <c r="U3" s="122" t="s">
        <v>357</v>
      </c>
      <c r="V3" s="122"/>
      <c r="W3" s="122"/>
      <c r="X3" s="122"/>
      <c r="Y3" s="122"/>
      <c r="Z3" s="122"/>
      <c r="AA3" s="122"/>
      <c r="AB3" s="122"/>
      <c r="AC3" s="122" t="s">
        <v>365</v>
      </c>
      <c r="AD3" s="122"/>
      <c r="AE3" s="122" t="s">
        <v>367</v>
      </c>
      <c r="AF3" s="122"/>
      <c r="AG3" s="122"/>
      <c r="AH3" s="122" t="s">
        <v>370</v>
      </c>
      <c r="AI3" s="122"/>
      <c r="AJ3" s="122"/>
      <c r="AK3" s="122"/>
      <c r="AL3" s="122"/>
      <c r="AM3" s="122" t="s">
        <v>356</v>
      </c>
      <c r="AO3" s="30"/>
      <c r="AP3" s="127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26" t="s">
        <v>432</v>
      </c>
      <c r="M4" s="26" t="s">
        <v>349</v>
      </c>
      <c r="N4" s="26" t="s">
        <v>350</v>
      </c>
      <c r="O4" s="26" t="s">
        <v>351</v>
      </c>
      <c r="P4" s="26" t="s">
        <v>352</v>
      </c>
      <c r="Q4" s="26" t="s">
        <v>353</v>
      </c>
      <c r="R4" s="26" t="s">
        <v>354</v>
      </c>
      <c r="S4" s="26" t="s">
        <v>355</v>
      </c>
      <c r="T4" s="26" t="s">
        <v>356</v>
      </c>
      <c r="U4" s="26" t="s">
        <v>358</v>
      </c>
      <c r="V4" s="26" t="s">
        <v>359</v>
      </c>
      <c r="W4" s="26" t="s">
        <v>360</v>
      </c>
      <c r="X4" s="26" t="s">
        <v>361</v>
      </c>
      <c r="Y4" s="26" t="s">
        <v>362</v>
      </c>
      <c r="Z4" s="26" t="s">
        <v>363</v>
      </c>
      <c r="AA4" s="26" t="s">
        <v>364</v>
      </c>
      <c r="AB4" s="26" t="s">
        <v>356</v>
      </c>
      <c r="AC4" s="26" t="s">
        <v>366</v>
      </c>
      <c r="AD4" s="26" t="s">
        <v>356</v>
      </c>
      <c r="AE4" s="26" t="s">
        <v>368</v>
      </c>
      <c r="AF4" s="26" t="s">
        <v>369</v>
      </c>
      <c r="AG4" s="26" t="s">
        <v>356</v>
      </c>
      <c r="AH4" s="26" t="s">
        <v>371</v>
      </c>
      <c r="AI4" s="26" t="s">
        <v>372</v>
      </c>
      <c r="AJ4" s="26" t="s">
        <v>373</v>
      </c>
      <c r="AK4" s="26" t="s">
        <v>374</v>
      </c>
      <c r="AL4" s="26" t="s">
        <v>356</v>
      </c>
      <c r="AM4" s="124"/>
      <c r="AO4" s="31" t="s">
        <v>466</v>
      </c>
      <c r="AP4" s="128"/>
    </row>
    <row r="5" spans="1:42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25">
        <f>'TUSD BE'!$L$5*'TUSD BF'!$L$58</f>
        <v>0</v>
      </c>
      <c r="M5" s="25">
        <f>'TUSD BE'!$M$5*'TUSD BF'!$M$58</f>
        <v>0</v>
      </c>
      <c r="N5" s="25">
        <f ca="1">'TUSD BE'!$N$5*'TUSD BF'!$N$58</f>
        <v>0</v>
      </c>
      <c r="O5" s="25">
        <f>'TUSD BE'!$O$5*'TUSD BF'!$O$58</f>
        <v>0</v>
      </c>
      <c r="P5" s="25">
        <f>'TUSD BE'!$P$5*'TUSD BF'!$P$58</f>
        <v>0</v>
      </c>
      <c r="Q5" s="25">
        <f>'TUSD BE'!$Q$5*'TUSD BF'!$Q$58</f>
        <v>0</v>
      </c>
      <c r="R5" s="25">
        <f>'TUSD BE'!$R$5*'TUSD BF'!$R$58</f>
        <v>0</v>
      </c>
      <c r="S5" s="25">
        <f>'TUSD BE'!$R$5*'TUSD BF'!$S$58</f>
        <v>0</v>
      </c>
      <c r="T5" s="25">
        <f ca="1">SUM($L$5:$S$5)</f>
        <v>0</v>
      </c>
      <c r="U5" s="25">
        <f>'TUSD BE'!$U$5*'TUSD BF'!$U$58</f>
        <v>0</v>
      </c>
      <c r="V5" s="25">
        <f>'TUSD BE'!$V$5*'TUSD BF'!$V$58</f>
        <v>0</v>
      </c>
      <c r="W5" s="25">
        <f>'TUSD BE'!$W$5*'TUSD BF'!$W$58</f>
        <v>0</v>
      </c>
      <c r="X5" s="25">
        <f>'TUSD BE'!$X$5*'TUSD BF'!$X$58</f>
        <v>0</v>
      </c>
      <c r="Y5" s="25">
        <f>'TUSD BE'!$Y$5*'TUSD BF'!$Y$58</f>
        <v>0</v>
      </c>
      <c r="Z5" s="25">
        <f>'TUSD BE'!$Z$5*'TUSD BF'!$Z$58</f>
        <v>0</v>
      </c>
      <c r="AA5" s="25">
        <f>'TUSD BE'!$AA$5*'TUSD BF'!$AA$58</f>
        <v>0</v>
      </c>
      <c r="AB5" s="25">
        <f>SUM($U$5:$AA$5)</f>
        <v>0</v>
      </c>
      <c r="AC5" s="25">
        <f>'TUSD BE'!$AC$5*'TUSD BF'!$AC$58</f>
        <v>0</v>
      </c>
      <c r="AD5" s="25">
        <f>SUM($AC$5:$AC$5)</f>
        <v>0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BF'!$AH$58</f>
        <v>0</v>
      </c>
      <c r="AI5" s="25">
        <f>'TUSD BE'!$AI$5*'TUSD BF'!$AI$58</f>
        <v>0</v>
      </c>
      <c r="AJ5" s="25">
        <f ca="1">'TUSD BE'!$AJ$5*'TUSD BF'!$AJ$58</f>
        <v>0</v>
      </c>
      <c r="AK5" s="25">
        <f ca="1">'TUSD BE'!$AK$5*'TUSD BF'!$AK$58</f>
        <v>0</v>
      </c>
      <c r="AL5" s="25">
        <f ca="1">SUM($AH$5:$AK$5)</f>
        <v>0</v>
      </c>
      <c r="AM5" s="25">
        <f ca="1">SUMIF($L$4:$AL$4,"SUBTOTAL",$L$5:$AL$5)</f>
        <v>0</v>
      </c>
      <c r="AO5" s="30">
        <f ca="1">+'TUSD BE'!$T$5+'TUSD BE'!$AB$5+'TUSD BE'!$AD$5+'TUSD BE'!$AL$5</f>
        <v>178.75257328631628</v>
      </c>
      <c r="AP5" s="30">
        <f ca="1">+'TUSD BE'!$T$5+'TUSD BE'!$AB$5+'TUSD BE'!$AD$5+'TUSD BE'!$AL$5</f>
        <v>178.75257328631628</v>
      </c>
    </row>
    <row r="6" spans="1:42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25">
        <f>'TUSD BE'!$L$6*'TUSD BF'!$L$58</f>
        <v>0</v>
      </c>
      <c r="M6" s="25">
        <f>'TUSD BE'!$M$6*'TUSD BF'!$M$58</f>
        <v>0</v>
      </c>
      <c r="N6" s="25">
        <f ca="1">'TUSD BE'!$N$6*'TUSD BF'!$N$58</f>
        <v>0</v>
      </c>
      <c r="O6" s="25">
        <f>'TUSD BE'!$O$6*'TUSD BF'!$O$58</f>
        <v>0</v>
      </c>
      <c r="P6" s="25">
        <f>'TUSD BE'!$P$6*'TUSD BF'!$P$58</f>
        <v>0</v>
      </c>
      <c r="Q6" s="25">
        <f>'TUSD BE'!$Q$6*'TUSD BF'!$Q$58</f>
        <v>0</v>
      </c>
      <c r="R6" s="25">
        <f>'TUSD BE'!$R$6*'TUSD BF'!$R$58</f>
        <v>0</v>
      </c>
      <c r="S6" s="25">
        <f>'TUSD BE'!$R$6*'TUSD BF'!$S$58</f>
        <v>0</v>
      </c>
      <c r="T6" s="25">
        <f ca="1">SUM($L$6:$S$6)</f>
        <v>0</v>
      </c>
      <c r="U6" s="25">
        <f>'TUSD BE'!$U$6*'TUSD BF'!$U$58</f>
        <v>0</v>
      </c>
      <c r="V6" s="25">
        <f>'TUSD BE'!$V$6*'TUSD BF'!$V$58</f>
        <v>0</v>
      </c>
      <c r="W6" s="25">
        <f>'TUSD BE'!$W$6*'TUSD BF'!$W$58</f>
        <v>0</v>
      </c>
      <c r="X6" s="25">
        <f>'TUSD BE'!$X$6*'TUSD BF'!$X$58</f>
        <v>0</v>
      </c>
      <c r="Y6" s="25">
        <f>'TUSD BE'!$Y$6*'TUSD BF'!$Y$58</f>
        <v>0</v>
      </c>
      <c r="Z6" s="25">
        <f>'TUSD BE'!$Z$6*'TUSD BF'!$Z$58</f>
        <v>0</v>
      </c>
      <c r="AA6" s="25">
        <f>'TUSD BE'!$AA$6*'TUSD BF'!$AA$58</f>
        <v>0</v>
      </c>
      <c r="AB6" s="25">
        <f>SUM($U$6:$AA$6)</f>
        <v>0</v>
      </c>
      <c r="AC6" s="25">
        <f>'TUSD BE'!$AC$6*'TUSD BF'!$AC$58</f>
        <v>0</v>
      </c>
      <c r="AD6" s="25">
        <f>SUM($AC$6:$AC$6)</f>
        <v>0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BF'!$AH$58</f>
        <v>0</v>
      </c>
      <c r="AI6" s="25">
        <f>'TUSD BE'!$AI$6*'TUSD BF'!$AI$58</f>
        <v>0</v>
      </c>
      <c r="AJ6" s="25">
        <f ca="1">'TUSD BE'!$AJ$6*'TUSD BF'!$AJ$58</f>
        <v>0</v>
      </c>
      <c r="AK6" s="25">
        <f ca="1">'TUSD BE'!$AK$6*'TUSD BF'!$AK$58</f>
        <v>0</v>
      </c>
      <c r="AL6" s="25">
        <f ca="1">SUM($AH$6:$AK$6)</f>
        <v>0</v>
      </c>
      <c r="AM6" s="25">
        <f ca="1">SUMIF($L$4:$AL$4,"SUBTOTAL",$L$6:$AL$6)</f>
        <v>0</v>
      </c>
      <c r="AO6" s="30">
        <f ca="1">+'TUSD BE'!$T$6+'TUSD BE'!$AB$6+'TUSD BE'!$AD$6+'TUSD BE'!$AL$6</f>
        <v>63.234647291619041</v>
      </c>
      <c r="AP6" s="30">
        <f ca="1">+'TUSD BE'!$T$6+'TUSD BE'!$AB$6+'TUSD BE'!$AD$6+'TUSD BE'!$AL$6</f>
        <v>63.234647291619041</v>
      </c>
    </row>
    <row r="7" spans="1:42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25">
        <f>'TUSD BE'!$L$7*'TUSD BF'!$L$58</f>
        <v>0</v>
      </c>
      <c r="M7" s="25">
        <f>'TUSD BE'!$M$7*'TUSD BF'!$M$58</f>
        <v>0</v>
      </c>
      <c r="N7" s="25">
        <f ca="1">'TUSD BE'!$N$7*'TUSD BF'!$N$58</f>
        <v>0</v>
      </c>
      <c r="O7" s="25">
        <f>'TUSD BE'!$O$7*'TUSD BF'!$O$58</f>
        <v>0</v>
      </c>
      <c r="P7" s="25">
        <f>'TUSD BE'!$P$7*'TUSD BF'!$P$58</f>
        <v>0</v>
      </c>
      <c r="Q7" s="25">
        <f>'TUSD BE'!$Q$7*'TUSD BF'!$Q$58</f>
        <v>0</v>
      </c>
      <c r="R7" s="25">
        <f>'TUSD BE'!$R$7*'TUSD BF'!$R$58</f>
        <v>0</v>
      </c>
      <c r="S7" s="25">
        <f>'TUSD BE'!$R$7*'TUSD BF'!$S$58</f>
        <v>0</v>
      </c>
      <c r="T7" s="25">
        <f ca="1">SUM($L$7:$S$7)</f>
        <v>0</v>
      </c>
      <c r="U7" s="25">
        <f>'TUSD BE'!$U$7*'TUSD BF'!$U$58</f>
        <v>0</v>
      </c>
      <c r="V7" s="25">
        <f>'TUSD BE'!$V$7*'TUSD BF'!$V$58</f>
        <v>0</v>
      </c>
      <c r="W7" s="25">
        <f>'TUSD BE'!$W$7*'TUSD BF'!$W$58</f>
        <v>0</v>
      </c>
      <c r="X7" s="25">
        <f>'TUSD BE'!$X$7*'TUSD BF'!$X$58</f>
        <v>0</v>
      </c>
      <c r="Y7" s="25">
        <f>'TUSD BE'!$Y$7*'TUSD BF'!$Y$58</f>
        <v>0</v>
      </c>
      <c r="Z7" s="25">
        <f>'TUSD BE'!$Z$7*'TUSD BF'!$Z$58</f>
        <v>0</v>
      </c>
      <c r="AA7" s="25">
        <f>'TUSD BE'!$AA$7*'TUSD BF'!$AA$58</f>
        <v>0</v>
      </c>
      <c r="AB7" s="25">
        <f>SUM($U$7:$AA$7)</f>
        <v>0</v>
      </c>
      <c r="AC7" s="25">
        <f>'TUSD BE'!$AC$7*'TUSD BF'!$AC$58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BF'!$AH$58</f>
        <v>0</v>
      </c>
      <c r="AI7" s="25">
        <f>'TUSD BE'!$AI$7*'TUSD BF'!$AI$58</f>
        <v>0</v>
      </c>
      <c r="AJ7" s="25">
        <f ca="1">'TUSD BE'!$AJ$7*'TUSD BF'!$AJ$58</f>
        <v>0</v>
      </c>
      <c r="AK7" s="25">
        <f ca="1">'TUSD BE'!$AK$7*'TUSD BF'!$AK$58</f>
        <v>0</v>
      </c>
      <c r="AL7" s="25">
        <f ca="1">SUM($AH$7:$AK$7)</f>
        <v>0</v>
      </c>
      <c r="AM7" s="25">
        <f ca="1">SUMIF($L$4:$AL$4,"SUBTOTAL",$L$7:$AL$7)</f>
        <v>0</v>
      </c>
      <c r="AO7" s="30">
        <f ca="1">+'TUSD BE'!$T$7+'TUSD BE'!$AB$7+'TUSD BE'!$AD$7+'TUSD BE'!$AL$7</f>
        <v>140.18485435796848</v>
      </c>
      <c r="AP7" s="30">
        <f ca="1">+'TUSD BE'!$T$7+'TUSD BE'!$AB$7+'TUSD BE'!$AD$7+'TUSD BE'!$AL$7</f>
        <v>140.18485435796848</v>
      </c>
    </row>
    <row r="8" spans="1:42" ht="11.25" customHeight="1" x14ac:dyDescent="0.3">
      <c r="A8" s="125"/>
      <c r="B8" s="125"/>
      <c r="C8" s="125"/>
      <c r="D8" s="125"/>
      <c r="E8" s="28" t="s">
        <v>75</v>
      </c>
      <c r="F8" s="28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25">
        <f>'TUSD BE'!$L$8*'TUSD BF'!$L$58</f>
        <v>0</v>
      </c>
      <c r="M8" s="25">
        <f>'TUSD BE'!$M$8*'TUSD BF'!$M$58</f>
        <v>0</v>
      </c>
      <c r="N8" s="25">
        <f ca="1">'TUSD BE'!$N$8*'TUSD BF'!$N$58</f>
        <v>0</v>
      </c>
      <c r="O8" s="25">
        <f>'TUSD BE'!$O$8*'TUSD BF'!$O$58</f>
        <v>0</v>
      </c>
      <c r="P8" s="25">
        <f>'TUSD BE'!$P$8*'TUSD BF'!$P$58</f>
        <v>0</v>
      </c>
      <c r="Q8" s="25">
        <f>'TUSD BE'!$Q$8*'TUSD BF'!$Q$58</f>
        <v>0</v>
      </c>
      <c r="R8" s="25">
        <f>'TUSD BE'!$R$8*'TUSD BF'!$R$58</f>
        <v>0</v>
      </c>
      <c r="S8" s="25">
        <f>'TUSD BE'!$R$8*'TUSD BF'!$S$58</f>
        <v>0</v>
      </c>
      <c r="T8" s="25">
        <f ca="1">SUM($L$8:$S$8)</f>
        <v>0</v>
      </c>
      <c r="U8" s="25">
        <f>'TUSD BE'!$U$8*'TUSD BF'!$U$58</f>
        <v>0</v>
      </c>
      <c r="V8" s="25">
        <f>'TUSD BE'!$V$8*'TUSD BF'!$V$58</f>
        <v>0</v>
      </c>
      <c r="W8" s="25">
        <f>'TUSD BE'!$W$8*'TUSD BF'!$W$58</f>
        <v>0</v>
      </c>
      <c r="X8" s="25">
        <f>'TUSD BE'!$X$8*'TUSD BF'!$X$58</f>
        <v>0</v>
      </c>
      <c r="Y8" s="25">
        <f>'TUSD BE'!$Y$8*'TUSD BF'!$Y$58</f>
        <v>0</v>
      </c>
      <c r="Z8" s="25">
        <f>'TUSD BE'!$Z$8*'TUSD BF'!$Z$58</f>
        <v>0</v>
      </c>
      <c r="AA8" s="25">
        <f>'TUSD BE'!$AA$8*'TUSD BF'!$AA$58</f>
        <v>0</v>
      </c>
      <c r="AB8" s="25">
        <f>SUM($U$8:$AA$8)</f>
        <v>0</v>
      </c>
      <c r="AC8" s="25">
        <f>'TUSD BE'!$AC$8*'TUSD BF'!$AC$58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BF'!$AH$58</f>
        <v>0</v>
      </c>
      <c r="AI8" s="25">
        <f>'TUSD BE'!$AI$8*'TUSD BF'!$AI$58</f>
        <v>0</v>
      </c>
      <c r="AJ8" s="25">
        <f ca="1">'TUSD BE'!$AJ$8*'TUSD BF'!$AJ$58</f>
        <v>0</v>
      </c>
      <c r="AK8" s="25">
        <f ca="1">'TUSD BE'!$AK$8*'TUSD BF'!$AK$58</f>
        <v>0</v>
      </c>
      <c r="AL8" s="25">
        <f ca="1">SUM($AH$8:$AK$8)</f>
        <v>0</v>
      </c>
      <c r="AM8" s="25">
        <f ca="1">SUMIF($L$4:$AL$4,"SUBTOTAL",$L$8:$AL$8)</f>
        <v>0</v>
      </c>
      <c r="AO8" s="30">
        <f ca="1">+'TUSD BE'!$T$8+'TUSD BE'!$AB$8+'TUSD BE'!$AD$8+'TUSD BE'!$AL$8</f>
        <v>12.255477686414713</v>
      </c>
      <c r="AP8" s="30">
        <f ca="1">+'TUSD BE'!$T$8+'TUSD BE'!$AB$8+'TUSD BE'!$AD$8+'TUSD BE'!$AL$8</f>
        <v>12.255477686414713</v>
      </c>
    </row>
    <row r="9" spans="1:42" ht="11.25" customHeight="1" x14ac:dyDescent="0.3">
      <c r="A9" s="125"/>
      <c r="B9" s="28" t="s">
        <v>76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25">
        <f>'TUSD BE'!$L$9*'TUSD BF'!$L$58</f>
        <v>0</v>
      </c>
      <c r="M9" s="25">
        <f>'TUSD BE'!$M$9*'TUSD BF'!$M$58</f>
        <v>0</v>
      </c>
      <c r="N9" s="25">
        <f ca="1">'TUSD BE'!$N$9*'TUSD BF'!$N$58</f>
        <v>0</v>
      </c>
      <c r="O9" s="25">
        <f>'TUSD BE'!$O$9*'TUSD BF'!$O$58</f>
        <v>0</v>
      </c>
      <c r="P9" s="25">
        <f>'TUSD BE'!$P$9*'TUSD BF'!$P$58</f>
        <v>0</v>
      </c>
      <c r="Q9" s="25">
        <f>'TUSD BE'!$Q$9*'TUSD BF'!$Q$58</f>
        <v>0</v>
      </c>
      <c r="R9" s="25">
        <f>'TUSD BE'!$R$9*'TUSD BF'!$R$58</f>
        <v>0</v>
      </c>
      <c r="S9" s="25">
        <f>'TUSD BE'!$R$9*'TUSD BF'!$S$58</f>
        <v>0</v>
      </c>
      <c r="T9" s="25">
        <f ca="1">SUM($L$9:$S$9)</f>
        <v>0</v>
      </c>
      <c r="U9" s="25">
        <f>'TUSD BE'!$U$9*'TUSD BF'!$U$58</f>
        <v>0</v>
      </c>
      <c r="V9" s="25">
        <f>'TUSD BE'!$V$9*'TUSD BF'!$V$58</f>
        <v>0</v>
      </c>
      <c r="W9" s="25">
        <f>'TUSD BE'!$W$9*'TUSD BF'!$W$58</f>
        <v>0</v>
      </c>
      <c r="X9" s="25">
        <f>'TUSD BE'!$X$9*'TUSD BF'!$X$58</f>
        <v>0</v>
      </c>
      <c r="Y9" s="25">
        <f>'TUSD BE'!$Y$9*'TUSD BF'!$Y$58</f>
        <v>0</v>
      </c>
      <c r="Z9" s="25">
        <f>'TUSD BE'!$Z$9*'TUSD BF'!$Z$58</f>
        <v>0</v>
      </c>
      <c r="AA9" s="25">
        <f>'TUSD BE'!$AA$9*'TUSD BF'!$AA$58</f>
        <v>0</v>
      </c>
      <c r="AB9" s="25">
        <f>SUM($U$9:$AA$9)</f>
        <v>0</v>
      </c>
      <c r="AC9" s="25">
        <f>'TUSD BE'!$AC$9*'TUSD BF'!$AC$58</f>
        <v>0</v>
      </c>
      <c r="AD9" s="25">
        <f>SUM($AC$9:$AC$9)</f>
        <v>0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BF'!$AH$58</f>
        <v>0</v>
      </c>
      <c r="AI9" s="25">
        <f>'TUSD BE'!$AI$9*'TUSD BF'!$AI$58</f>
        <v>0</v>
      </c>
      <c r="AJ9" s="25">
        <f ca="1">'TUSD BE'!$AJ$9*'TUSD BF'!$AJ$58</f>
        <v>0</v>
      </c>
      <c r="AK9" s="25">
        <f ca="1">'TUSD BE'!$AK$9*'TUSD BF'!$AK$58</f>
        <v>0</v>
      </c>
      <c r="AL9" s="25">
        <f ca="1">SUM($AH$9:$AK$9)</f>
        <v>0</v>
      </c>
      <c r="AM9" s="25">
        <f ca="1">SUMIF($L$4:$AL$4,"SUBTOTAL",$L$9:$AL$9)</f>
        <v>0</v>
      </c>
      <c r="AO9" s="30">
        <f ca="1">+'TUSD BE'!$T$9+'TUSD BE'!$AB$9+'TUSD BE'!$AD$9+'TUSD BE'!$AL$9</f>
        <v>12.866829517757296</v>
      </c>
      <c r="AP9" s="30">
        <f ca="1">+'TUSD BE'!$T$9+'TUSD BE'!$AB$9+'TUSD BE'!$AD$9+'TUSD BE'!$AL$9</f>
        <v>12.866829517757296</v>
      </c>
    </row>
    <row r="10" spans="1:42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25">
        <f>'TUSD BE'!$L$10*'TUSD BF'!$L$58</f>
        <v>0</v>
      </c>
      <c r="M10" s="25">
        <f>'TUSD BE'!$M$10*'TUSD BF'!$M$58</f>
        <v>0</v>
      </c>
      <c r="N10" s="25">
        <f ca="1">'TUSD BE'!$N$10*'TUSD BF'!$N$58</f>
        <v>0</v>
      </c>
      <c r="O10" s="25">
        <f>'TUSD BE'!$O$10*'TUSD BF'!$O$58</f>
        <v>0</v>
      </c>
      <c r="P10" s="25">
        <f>'TUSD BE'!$P$10*'TUSD BF'!$P$58</f>
        <v>0</v>
      </c>
      <c r="Q10" s="25">
        <f>'TUSD BE'!$Q$10*'TUSD BF'!$Q$58</f>
        <v>0</v>
      </c>
      <c r="R10" s="25">
        <f>'TUSD BE'!$R$10*'TUSD BF'!$R$58</f>
        <v>0</v>
      </c>
      <c r="S10" s="25">
        <f>'TUSD BE'!$R$10*'TUSD BF'!$S$58</f>
        <v>0</v>
      </c>
      <c r="T10" s="25">
        <f ca="1">SUM($L$10:$S$10)</f>
        <v>0</v>
      </c>
      <c r="U10" s="25">
        <f>'TUSD BE'!$U$10*'TUSD BF'!$U$58</f>
        <v>0</v>
      </c>
      <c r="V10" s="25">
        <f>'TUSD BE'!$V$10*'TUSD BF'!$V$58</f>
        <v>0</v>
      </c>
      <c r="W10" s="25">
        <f>'TUSD BE'!$W$10*'TUSD BF'!$W$58</f>
        <v>0</v>
      </c>
      <c r="X10" s="25">
        <f>'TUSD BE'!$X$10*'TUSD BF'!$X$58</f>
        <v>0</v>
      </c>
      <c r="Y10" s="25">
        <f>'TUSD BE'!$Y$10*'TUSD BF'!$Y$58</f>
        <v>0</v>
      </c>
      <c r="Z10" s="25">
        <f>'TUSD BE'!$Z$10*'TUSD BF'!$Z$58</f>
        <v>0</v>
      </c>
      <c r="AA10" s="25">
        <f>'TUSD BE'!$AA$10*'TUSD BF'!$AA$58</f>
        <v>0</v>
      </c>
      <c r="AB10" s="25">
        <f>SUM($U$10:$AA$10)</f>
        <v>0</v>
      </c>
      <c r="AC10" s="25">
        <f>'TUSD BE'!$AC$10*'TUSD BF'!$AC$58</f>
        <v>0</v>
      </c>
      <c r="AD10" s="25">
        <f>SUM($AC$10:$AC$10)</f>
        <v>0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BF'!$AH$58</f>
        <v>0</v>
      </c>
      <c r="AI10" s="25">
        <f>'TUSD BE'!$AI$10*'TUSD BF'!$AI$58</f>
        <v>0</v>
      </c>
      <c r="AJ10" s="25">
        <f ca="1">'TUSD BE'!$AJ$10*'TUSD BF'!$AJ$58</f>
        <v>0</v>
      </c>
      <c r="AK10" s="25">
        <f ca="1">'TUSD BE'!$AK$10*'TUSD BF'!$AK$58</f>
        <v>0</v>
      </c>
      <c r="AL10" s="25">
        <f ca="1">SUM($AH$10:$AK$10)</f>
        <v>0</v>
      </c>
      <c r="AM10" s="25">
        <f ca="1">SUMIF($L$4:$AL$4,"SUBTOTAL",$L$10:$AL$10)</f>
        <v>0</v>
      </c>
      <c r="AO10" s="30">
        <f ca="1">+'TUSD BE'!$T$10+'TUSD BE'!$AB$10+'TUSD BE'!$AD$10+'TUSD BE'!$AL$10</f>
        <v>63.234647291619041</v>
      </c>
      <c r="AP10" s="30">
        <f ca="1">+'TUSD BE'!$T$10+'TUSD BE'!$AB$10+'TUSD BE'!$AD$10+'TUSD BE'!$AL$10</f>
        <v>63.234647291619041</v>
      </c>
    </row>
    <row r="11" spans="1:42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25">
        <f>'TUSD BE'!$L$11*'TUSD BF'!$L$58</f>
        <v>0</v>
      </c>
      <c r="M11" s="25">
        <f>'TUSD BE'!$M$11*'TUSD BF'!$M$58</f>
        <v>0</v>
      </c>
      <c r="N11" s="25">
        <f ca="1">'TUSD BE'!$N$11*'TUSD BF'!$N$58</f>
        <v>0</v>
      </c>
      <c r="O11" s="25">
        <f>'TUSD BE'!$O$11*'TUSD BF'!$O$58</f>
        <v>0</v>
      </c>
      <c r="P11" s="25">
        <f>'TUSD BE'!$P$11*'TUSD BF'!$P$58</f>
        <v>0</v>
      </c>
      <c r="Q11" s="25">
        <f>'TUSD BE'!$Q$11*'TUSD BF'!$Q$58</f>
        <v>0</v>
      </c>
      <c r="R11" s="25">
        <f>'TUSD BE'!$R$11*'TUSD BF'!$R$58</f>
        <v>0</v>
      </c>
      <c r="S11" s="25">
        <f>'TUSD BE'!$R$11*'TUSD BF'!$S$58</f>
        <v>0</v>
      </c>
      <c r="T11" s="25">
        <f ca="1">SUM($L$11:$S$11)</f>
        <v>0</v>
      </c>
      <c r="U11" s="25">
        <f>'TUSD BE'!$U$11*'TUSD BF'!$U$58</f>
        <v>0</v>
      </c>
      <c r="V11" s="25">
        <f>'TUSD BE'!$V$11*'TUSD BF'!$V$58</f>
        <v>0</v>
      </c>
      <c r="W11" s="25">
        <f>'TUSD BE'!$W$11*'TUSD BF'!$W$58</f>
        <v>0</v>
      </c>
      <c r="X11" s="25">
        <f>'TUSD BE'!$X$11*'TUSD BF'!$X$58</f>
        <v>0</v>
      </c>
      <c r="Y11" s="25">
        <f>'TUSD BE'!$Y$11*'TUSD BF'!$Y$58</f>
        <v>0</v>
      </c>
      <c r="Z11" s="25">
        <f>'TUSD BE'!$Z$11*'TUSD BF'!$Z$58</f>
        <v>0</v>
      </c>
      <c r="AA11" s="25">
        <f>'TUSD BE'!$AA$11*'TUSD BF'!$AA$58</f>
        <v>0</v>
      </c>
      <c r="AB11" s="25">
        <f>SUM($U$11:$AA$11)</f>
        <v>0</v>
      </c>
      <c r="AC11" s="25">
        <f>'TUSD BE'!$AC$11*'TUSD BF'!$AC$58</f>
        <v>0</v>
      </c>
      <c r="AD11" s="25">
        <f>SUM($AC$11:$AC$11)</f>
        <v>0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BF'!$AH$58</f>
        <v>0</v>
      </c>
      <c r="AI11" s="25">
        <f>'TUSD BE'!$AI$11*'TUSD BF'!$AI$58</f>
        <v>0</v>
      </c>
      <c r="AJ11" s="25">
        <f ca="1">'TUSD BE'!$AJ$11*'TUSD BF'!$AJ$58</f>
        <v>0</v>
      </c>
      <c r="AK11" s="25">
        <f ca="1">'TUSD BE'!$AK$11*'TUSD BF'!$AK$58</f>
        <v>0</v>
      </c>
      <c r="AL11" s="25">
        <f ca="1">SUM($AH$11:$AK$11)</f>
        <v>0</v>
      </c>
      <c r="AM11" s="25">
        <f ca="1">SUMIF($L$4:$AL$4,"SUBTOTAL",$L$11:$AL$11)</f>
        <v>0</v>
      </c>
      <c r="AO11" s="30">
        <f ca="1">+'TUSD BE'!$T$11+'TUSD BE'!$AB$11+'TUSD BE'!$AD$11+'TUSD BE'!$AL$11</f>
        <v>4439.1553764878936</v>
      </c>
      <c r="AP11" s="30">
        <f ca="1">+'TUSD BE'!$T$11+'TUSD BE'!$AB$11+'TUSD BE'!$AD$11+'TUSD BE'!$AL$11</f>
        <v>4439.1553764878936</v>
      </c>
    </row>
    <row r="12" spans="1:42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25">
        <f>'TUSD BE'!$L$12*'TUSD BF'!$L$58</f>
        <v>0</v>
      </c>
      <c r="M12" s="25">
        <f>'TUSD BE'!$M$12*'TUSD BF'!$M$58</f>
        <v>0</v>
      </c>
      <c r="N12" s="25">
        <f ca="1">'TUSD BE'!$N$12*'TUSD BF'!$N$58</f>
        <v>0</v>
      </c>
      <c r="O12" s="25">
        <f>'TUSD BE'!$O$12*'TUSD BF'!$O$58</f>
        <v>0</v>
      </c>
      <c r="P12" s="25">
        <f>'TUSD BE'!$P$12*'TUSD BF'!$P$58</f>
        <v>0</v>
      </c>
      <c r="Q12" s="25">
        <f>'TUSD BE'!$Q$12*'TUSD BF'!$Q$58</f>
        <v>0</v>
      </c>
      <c r="R12" s="25">
        <f>'TUSD BE'!$R$12*'TUSD BF'!$R$58</f>
        <v>0</v>
      </c>
      <c r="S12" s="25">
        <f>'TUSD BE'!$R$12*'TUSD BF'!$S$58</f>
        <v>0</v>
      </c>
      <c r="T12" s="25">
        <f ca="1">SUM($L$12:$S$12)</f>
        <v>0</v>
      </c>
      <c r="U12" s="25">
        <f>'TUSD BE'!$U$12*'TUSD BF'!$U$58</f>
        <v>0</v>
      </c>
      <c r="V12" s="25">
        <f>'TUSD BE'!$V$12*'TUSD BF'!$V$58</f>
        <v>0</v>
      </c>
      <c r="W12" s="25">
        <f>'TUSD BE'!$W$12*'TUSD BF'!$W$58</f>
        <v>0</v>
      </c>
      <c r="X12" s="25">
        <f>'TUSD BE'!$X$12*'TUSD BF'!$X$58</f>
        <v>0</v>
      </c>
      <c r="Y12" s="25">
        <f>'TUSD BE'!$Y$12*'TUSD BF'!$Y$58</f>
        <v>0</v>
      </c>
      <c r="Z12" s="25">
        <f>'TUSD BE'!$Z$12*'TUSD BF'!$Z$58</f>
        <v>0</v>
      </c>
      <c r="AA12" s="25">
        <f>'TUSD BE'!$AA$12*'TUSD BF'!$AA$58</f>
        <v>0</v>
      </c>
      <c r="AB12" s="25">
        <f>SUM($U$12:$AA$12)</f>
        <v>0</v>
      </c>
      <c r="AC12" s="25">
        <f>'TUSD BE'!$AC$12*'TUSD BF'!$AC$58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BF'!$AH$58</f>
        <v>0</v>
      </c>
      <c r="AI12" s="25">
        <f>'TUSD BE'!$AI$12*'TUSD BF'!$AI$58</f>
        <v>0</v>
      </c>
      <c r="AJ12" s="25">
        <f ca="1">'TUSD BE'!$AJ$12*'TUSD BF'!$AJ$58</f>
        <v>0</v>
      </c>
      <c r="AK12" s="25">
        <f ca="1">'TUSD BE'!$AK$12*'TUSD BF'!$AK$58</f>
        <v>0</v>
      </c>
      <c r="AL12" s="25">
        <f ca="1">SUM($AH$12:$AK$12)</f>
        <v>0</v>
      </c>
      <c r="AM12" s="25">
        <f ca="1">SUMIF($L$4:$AL$4,"SUBTOTAL",$L$12:$AL$12)</f>
        <v>0</v>
      </c>
      <c r="AO12" s="30">
        <f ca="1">+'TUSD BE'!$T$12+'TUSD BE'!$AB$12+'TUSD BE'!$AD$12+'TUSD BE'!$AL$12</f>
        <v>140.18485435796848</v>
      </c>
      <c r="AP12" s="30">
        <f ca="1">+'TUSD BE'!$T$12+'TUSD BE'!$AB$12+'TUSD BE'!$AD$12+'TUSD BE'!$AL$12</f>
        <v>140.18485435796848</v>
      </c>
    </row>
    <row r="13" spans="1:42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25">
        <f>'TUSD BE'!$L$13*'TUSD BF'!$L$58</f>
        <v>0</v>
      </c>
      <c r="M13" s="25">
        <f>'TUSD BE'!$M$13*'TUSD BF'!$M$58</f>
        <v>0</v>
      </c>
      <c r="N13" s="25">
        <f ca="1">'TUSD BE'!$N$13*'TUSD BF'!$N$58</f>
        <v>0</v>
      </c>
      <c r="O13" s="25">
        <f>'TUSD BE'!$O$13*'TUSD BF'!$O$58</f>
        <v>0</v>
      </c>
      <c r="P13" s="25">
        <f>'TUSD BE'!$P$13*'TUSD BF'!$P$58</f>
        <v>0</v>
      </c>
      <c r="Q13" s="25">
        <f>'TUSD BE'!$Q$13*'TUSD BF'!$Q$58</f>
        <v>0</v>
      </c>
      <c r="R13" s="25">
        <f>'TUSD BE'!$R$13*'TUSD BF'!$R$58</f>
        <v>0</v>
      </c>
      <c r="S13" s="25">
        <f>'TUSD BE'!$R$13*'TUSD BF'!$S$58</f>
        <v>0</v>
      </c>
      <c r="T13" s="25">
        <f ca="1">SUM($L$13:$S$13)</f>
        <v>0</v>
      </c>
      <c r="U13" s="25">
        <f>'TUSD BE'!$U$13*'TUSD BF'!$U$58</f>
        <v>0</v>
      </c>
      <c r="V13" s="25">
        <f>'TUSD BE'!$V$13*'TUSD BF'!$V$58</f>
        <v>0</v>
      </c>
      <c r="W13" s="25">
        <f>'TUSD BE'!$W$13*'TUSD BF'!$W$58</f>
        <v>0</v>
      </c>
      <c r="X13" s="25">
        <f>'TUSD BE'!$X$13*'TUSD BF'!$X$58</f>
        <v>0</v>
      </c>
      <c r="Y13" s="25">
        <f>'TUSD BE'!$Y$13*'TUSD BF'!$Y$58</f>
        <v>0</v>
      </c>
      <c r="Z13" s="25">
        <f>'TUSD BE'!$Z$13*'TUSD BF'!$Z$58</f>
        <v>0</v>
      </c>
      <c r="AA13" s="25">
        <f>'TUSD BE'!$AA$13*'TUSD BF'!$AA$58</f>
        <v>0</v>
      </c>
      <c r="AB13" s="25">
        <f>SUM($U$13:$AA$13)</f>
        <v>0</v>
      </c>
      <c r="AC13" s="25">
        <f>'TUSD BE'!$AC$13*'TUSD BF'!$AC$58</f>
        <v>0</v>
      </c>
      <c r="AD13" s="25">
        <f>SUM($AC$13:$AC$13)</f>
        <v>0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BF'!$AH$58</f>
        <v>0</v>
      </c>
      <c r="AI13" s="25">
        <f>'TUSD BE'!$AI$13*'TUSD BF'!$AI$58</f>
        <v>0</v>
      </c>
      <c r="AJ13" s="25">
        <f ca="1">'TUSD BE'!$AJ$13*'TUSD BF'!$AJ$58</f>
        <v>0</v>
      </c>
      <c r="AK13" s="25">
        <f ca="1">'TUSD BE'!$AK$13*'TUSD BF'!$AK$58</f>
        <v>0</v>
      </c>
      <c r="AL13" s="25">
        <f ca="1">SUM($AH$13:$AK$13)</f>
        <v>0</v>
      </c>
      <c r="AM13" s="25">
        <f ca="1">SUMIF($L$4:$AL$4,"SUBTOTAL",$L$13:$AL$13)</f>
        <v>0</v>
      </c>
      <c r="AO13" s="30">
        <f ca="1">+'TUSD BE'!$T$13+'TUSD BE'!$AB$13+'TUSD BE'!$AD$13+'TUSD BE'!$AL$13</f>
        <v>4311.225999816339</v>
      </c>
      <c r="AP13" s="30">
        <f ca="1">+'TUSD BE'!$T$13+'TUSD BE'!$AB$13+'TUSD BE'!$AD$13+'TUSD BE'!$AL$13</f>
        <v>4311.225999816339</v>
      </c>
    </row>
    <row r="14" spans="1:42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25">
        <f>'TUSD BE'!$L$14*'TUSD BF'!$L$58</f>
        <v>0</v>
      </c>
      <c r="M14" s="25">
        <f>'TUSD BE'!$M$14*'TUSD BF'!$M$58</f>
        <v>0</v>
      </c>
      <c r="N14" s="25">
        <f ca="1">'TUSD BE'!$N$14*'TUSD BF'!$N$58</f>
        <v>0</v>
      </c>
      <c r="O14" s="25">
        <f>'TUSD BE'!$O$14*'TUSD BF'!$O$58</f>
        <v>0</v>
      </c>
      <c r="P14" s="25">
        <f>'TUSD BE'!$P$14*'TUSD BF'!$P$58</f>
        <v>0</v>
      </c>
      <c r="Q14" s="25">
        <f>'TUSD BE'!$Q$14*'TUSD BF'!$Q$58</f>
        <v>0</v>
      </c>
      <c r="R14" s="25">
        <f>'TUSD BE'!$R$14*'TUSD BF'!$R$58</f>
        <v>0</v>
      </c>
      <c r="S14" s="25">
        <f>'TUSD BE'!$R$14*'TUSD BF'!$S$58</f>
        <v>0</v>
      </c>
      <c r="T14" s="25">
        <f ca="1">SUM($L$14:$S$14)</f>
        <v>0</v>
      </c>
      <c r="U14" s="25">
        <f>'TUSD BE'!$U$14*'TUSD BF'!$U$58</f>
        <v>0</v>
      </c>
      <c r="V14" s="25">
        <f>'TUSD BE'!$V$14*'TUSD BF'!$V$58</f>
        <v>0</v>
      </c>
      <c r="W14" s="25">
        <f>'TUSD BE'!$W$14*'TUSD BF'!$W$58</f>
        <v>0</v>
      </c>
      <c r="X14" s="25">
        <f>'TUSD BE'!$X$14*'TUSD BF'!$X$58</f>
        <v>0</v>
      </c>
      <c r="Y14" s="25">
        <f>'TUSD BE'!$Y$14*'TUSD BF'!$Y$58</f>
        <v>0</v>
      </c>
      <c r="Z14" s="25">
        <f>'TUSD BE'!$Z$14*'TUSD BF'!$Z$58</f>
        <v>0</v>
      </c>
      <c r="AA14" s="25">
        <f>'TUSD BE'!$AA$14*'TUSD BF'!$AA$58</f>
        <v>0</v>
      </c>
      <c r="AB14" s="25">
        <f>SUM($U$14:$AA$14)</f>
        <v>0</v>
      </c>
      <c r="AC14" s="25">
        <f>'TUSD BE'!$AC$14*'TUSD BF'!$AC$58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BF'!$AH$58</f>
        <v>0</v>
      </c>
      <c r="AI14" s="25">
        <f>'TUSD BE'!$AI$14*'TUSD BF'!$AI$58</f>
        <v>0</v>
      </c>
      <c r="AJ14" s="25">
        <f ca="1">'TUSD BE'!$AJ$14*'TUSD BF'!$AJ$58</f>
        <v>0</v>
      </c>
      <c r="AK14" s="25">
        <f ca="1">'TUSD BE'!$AK$14*'TUSD BF'!$AK$58</f>
        <v>0</v>
      </c>
      <c r="AL14" s="25">
        <f ca="1">SUM($AH$14:$AK$14)</f>
        <v>0</v>
      </c>
      <c r="AM14" s="25">
        <f ca="1">SUMIF($L$4:$AL$4,"SUBTOTAL",$L$14:$AL$14)</f>
        <v>0</v>
      </c>
      <c r="AO14" s="30">
        <f ca="1">+'TUSD BE'!$T$14+'TUSD BE'!$AB$14+'TUSD BE'!$AD$14+'TUSD BE'!$AL$14</f>
        <v>12.255477686414713</v>
      </c>
      <c r="AP14" s="30">
        <f ca="1">+'TUSD BE'!$T$14+'TUSD BE'!$AB$14+'TUSD BE'!$AD$14+'TUSD BE'!$AL$14</f>
        <v>12.255477686414713</v>
      </c>
    </row>
    <row r="15" spans="1:42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28" t="s">
        <v>78</v>
      </c>
      <c r="F15" s="28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25">
        <f>'TUSD BE'!$L$15*'TUSD BF'!$L$58</f>
        <v>0</v>
      </c>
      <c r="M15" s="25">
        <f>'TUSD BE'!$M$15*'TUSD BF'!$M$58</f>
        <v>0</v>
      </c>
      <c r="N15" s="25">
        <f ca="1">'TUSD BE'!$N$15*'TUSD BF'!$N$58</f>
        <v>0</v>
      </c>
      <c r="O15" s="25">
        <f>'TUSD BE'!$O$15*'TUSD BF'!$O$58</f>
        <v>0</v>
      </c>
      <c r="P15" s="25">
        <f>'TUSD BE'!$P$15*'TUSD BF'!$P$58</f>
        <v>0</v>
      </c>
      <c r="Q15" s="25">
        <f>'TUSD BE'!$Q$15*'TUSD BF'!$Q$58</f>
        <v>0</v>
      </c>
      <c r="R15" s="25">
        <f>'TUSD BE'!$R$15*'TUSD BF'!$R$58</f>
        <v>0</v>
      </c>
      <c r="S15" s="25">
        <f>'TUSD BE'!$R$15*'TUSD BF'!$S$58</f>
        <v>0</v>
      </c>
      <c r="T15" s="25">
        <f ca="1">SUM($L$15:$S$15)</f>
        <v>0</v>
      </c>
      <c r="U15" s="25">
        <f>'TUSD BE'!$U$15*'TUSD BF'!$U$58</f>
        <v>0</v>
      </c>
      <c r="V15" s="25">
        <f>'TUSD BE'!$V$15*'TUSD BF'!$V$58</f>
        <v>0</v>
      </c>
      <c r="W15" s="25">
        <f>'TUSD BE'!$W$15*'TUSD BF'!$W$58</f>
        <v>0</v>
      </c>
      <c r="X15" s="25">
        <f>'TUSD BE'!$X$15*'TUSD BF'!$X$58</f>
        <v>0</v>
      </c>
      <c r="Y15" s="25">
        <f>'TUSD BE'!$Y$15*'TUSD BF'!$Y$58</f>
        <v>0</v>
      </c>
      <c r="Z15" s="25">
        <f>'TUSD BE'!$Z$15*'TUSD BF'!$Z$58</f>
        <v>0</v>
      </c>
      <c r="AA15" s="25">
        <f>'TUSD BE'!$AA$15*'TUSD BF'!$AA$58</f>
        <v>0</v>
      </c>
      <c r="AB15" s="25">
        <f>SUM($U$15:$AA$15)</f>
        <v>0</v>
      </c>
      <c r="AC15" s="25">
        <f>'TUSD BE'!$AC$15*'TUSD BF'!$AC$58</f>
        <v>0</v>
      </c>
      <c r="AD15" s="25">
        <f>SUM($AC$15:$AC$15)</f>
        <v>0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BF'!$AH$58</f>
        <v>0</v>
      </c>
      <c r="AI15" s="25">
        <f>'TUSD BE'!$AI$15*'TUSD BF'!$AI$58</f>
        <v>0</v>
      </c>
      <c r="AJ15" s="25">
        <f ca="1">'TUSD BE'!$AJ$15*'TUSD BF'!$AJ$58</f>
        <v>0</v>
      </c>
      <c r="AK15" s="25">
        <f ca="1">'TUSD BE'!$AK$15*'TUSD BF'!$AK$58</f>
        <v>0</v>
      </c>
      <c r="AL15" s="25">
        <f ca="1">SUM($AH$15:$AK$15)</f>
        <v>0</v>
      </c>
      <c r="AM15" s="25">
        <f ca="1">SUMIF($L$4:$AL$4,"SUBTOTAL",$L$15:$AL$15)</f>
        <v>0</v>
      </c>
      <c r="AO15" s="30">
        <f ca="1">+'TUSD BE'!$T$15+'TUSD BE'!$AB$15+'TUSD BE'!$AD$15+'TUSD BE'!$AL$15</f>
        <v>3.5903368480620643</v>
      </c>
      <c r="AP15" s="30">
        <f ca="1">+'TUSD BE'!$T$15+'TUSD BE'!$AB$15+'TUSD BE'!$AD$15+'TUSD BE'!$AL$15</f>
        <v>3.5903368480620643</v>
      </c>
    </row>
    <row r="16" spans="1:42" ht="11.25" customHeight="1" x14ac:dyDescent="0.3">
      <c r="A16" s="125"/>
      <c r="B16" s="125"/>
      <c r="C16" s="125"/>
      <c r="D16" s="125"/>
      <c r="E16" s="28" t="s">
        <v>79</v>
      </c>
      <c r="F16" s="28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25">
        <f>'TUSD BE'!$L$16*'TUSD BF'!$L$58</f>
        <v>0</v>
      </c>
      <c r="M16" s="25">
        <f>'TUSD BE'!$M$16*'TUSD BF'!$M$58</f>
        <v>0</v>
      </c>
      <c r="N16" s="25">
        <f ca="1">'TUSD BE'!$N$16*'TUSD BF'!$N$58</f>
        <v>0</v>
      </c>
      <c r="O16" s="25">
        <f>'TUSD BE'!$O$16*'TUSD BF'!$O$58</f>
        <v>0</v>
      </c>
      <c r="P16" s="25">
        <f>'TUSD BE'!$P$16*'TUSD BF'!$P$58</f>
        <v>0</v>
      </c>
      <c r="Q16" s="25">
        <f>'TUSD BE'!$Q$16*'TUSD BF'!$Q$58</f>
        <v>0</v>
      </c>
      <c r="R16" s="25">
        <f>'TUSD BE'!$R$16*'TUSD BF'!$R$58</f>
        <v>0</v>
      </c>
      <c r="S16" s="25">
        <f>'TUSD BE'!$R$16*'TUSD BF'!$S$58</f>
        <v>0</v>
      </c>
      <c r="T16" s="25">
        <f ca="1">SUM($L$16:$S$16)</f>
        <v>0</v>
      </c>
      <c r="U16" s="25">
        <f>'TUSD BE'!$U$16*'TUSD BF'!$U$58</f>
        <v>0</v>
      </c>
      <c r="V16" s="25">
        <f>'TUSD BE'!$V$16*'TUSD BF'!$V$58</f>
        <v>0</v>
      </c>
      <c r="W16" s="25">
        <f>'TUSD BE'!$W$16*'TUSD BF'!$W$58</f>
        <v>0</v>
      </c>
      <c r="X16" s="25">
        <f>'TUSD BE'!$X$16*'TUSD BF'!$X$58</f>
        <v>0</v>
      </c>
      <c r="Y16" s="25">
        <f>'TUSD BE'!$Y$16*'TUSD BF'!$Y$58</f>
        <v>0</v>
      </c>
      <c r="Z16" s="25">
        <f>'TUSD BE'!$Z$16*'TUSD BF'!$Z$58</f>
        <v>0</v>
      </c>
      <c r="AA16" s="25">
        <f>'TUSD BE'!$AA$16*'TUSD BF'!$AA$58</f>
        <v>0</v>
      </c>
      <c r="AB16" s="25">
        <f>SUM($U$16:$AA$16)</f>
        <v>0</v>
      </c>
      <c r="AC16" s="25">
        <f>'TUSD BE'!$AC$16*'TUSD BF'!$AC$58</f>
        <v>0</v>
      </c>
      <c r="AD16" s="25">
        <f>SUM($AC$16:$AC$16)</f>
        <v>0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BF'!$AH$58</f>
        <v>0</v>
      </c>
      <c r="AI16" s="25">
        <f>'TUSD BE'!$AI$16*'TUSD BF'!$AI$58</f>
        <v>0</v>
      </c>
      <c r="AJ16" s="25">
        <f ca="1">'TUSD BE'!$AJ$16*'TUSD BF'!$AJ$58</f>
        <v>0</v>
      </c>
      <c r="AK16" s="25">
        <f ca="1">'TUSD BE'!$AK$16*'TUSD BF'!$AK$58</f>
        <v>0</v>
      </c>
      <c r="AL16" s="25">
        <f ca="1">SUM($AH$16:$AK$16)</f>
        <v>0</v>
      </c>
      <c r="AM16" s="25">
        <f ca="1">SUMIF($L$4:$AL$4,"SUBTOTAL",$L$16:$AL$16)</f>
        <v>0</v>
      </c>
      <c r="AO16" s="30">
        <f ca="1">+'TUSD BE'!$T$16+'TUSD BE'!$AB$16+'TUSD BE'!$AD$16+'TUSD BE'!$AL$16</f>
        <v>11.545428548152207</v>
      </c>
      <c r="AP16" s="30">
        <f ca="1">+'TUSD BE'!$T$16+'TUSD BE'!$AB$16+'TUSD BE'!$AD$16+'TUSD BE'!$AL$16</f>
        <v>11.545428548152207</v>
      </c>
    </row>
    <row r="17" spans="1:42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25">
        <f>'TUSD BE'!$L$17*'TUSD BF'!$L$58</f>
        <v>0</v>
      </c>
      <c r="M17" s="25">
        <f>'TUSD BE'!$M$17*'TUSD BF'!$M$58</f>
        <v>0</v>
      </c>
      <c r="N17" s="25">
        <f ca="1">'TUSD BE'!$N$17*'TUSD BF'!$N$58</f>
        <v>0</v>
      </c>
      <c r="O17" s="25">
        <f>'TUSD BE'!$O$17*'TUSD BF'!$O$58</f>
        <v>0</v>
      </c>
      <c r="P17" s="25">
        <f>'TUSD BE'!$P$17*'TUSD BF'!$P$58</f>
        <v>0</v>
      </c>
      <c r="Q17" s="25">
        <f>'TUSD BE'!$Q$17*'TUSD BF'!$Q$58</f>
        <v>0</v>
      </c>
      <c r="R17" s="25">
        <f>'TUSD BE'!$R$17*'TUSD BF'!$R$58</f>
        <v>0</v>
      </c>
      <c r="S17" s="25">
        <f>'TUSD BE'!$R$17*'TUSD BF'!$S$58</f>
        <v>0</v>
      </c>
      <c r="T17" s="25">
        <f ca="1">SUM($L$17:$S$17)</f>
        <v>0</v>
      </c>
      <c r="U17" s="25">
        <f>'TUSD BE'!$U$17*'TUSD BF'!$U$58</f>
        <v>0</v>
      </c>
      <c r="V17" s="25">
        <f>'TUSD BE'!$V$17*'TUSD BF'!$V$58</f>
        <v>0</v>
      </c>
      <c r="W17" s="25">
        <f>'TUSD BE'!$W$17*'TUSD BF'!$W$58</f>
        <v>0</v>
      </c>
      <c r="X17" s="25">
        <f>'TUSD BE'!$X$17*'TUSD BF'!$X$58</f>
        <v>0</v>
      </c>
      <c r="Y17" s="25">
        <f>'TUSD BE'!$Y$17*'TUSD BF'!$Y$58</f>
        <v>0</v>
      </c>
      <c r="Z17" s="25">
        <f>'TUSD BE'!$Z$17*'TUSD BF'!$Z$58</f>
        <v>0</v>
      </c>
      <c r="AA17" s="25">
        <f>'TUSD BE'!$AA$17*'TUSD BF'!$AA$58</f>
        <v>0</v>
      </c>
      <c r="AB17" s="25">
        <f>SUM($U$17:$AA$17)</f>
        <v>0</v>
      </c>
      <c r="AC17" s="25">
        <f>'TUSD BE'!$AC$17*'TUSD BF'!$AC$58</f>
        <v>0</v>
      </c>
      <c r="AD17" s="25">
        <f>SUM($AC$17:$AC$17)</f>
        <v>0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BF'!$AH$58</f>
        <v>0</v>
      </c>
      <c r="AI17" s="25">
        <f>'TUSD BE'!$AI$17*'TUSD BF'!$AI$58</f>
        <v>0</v>
      </c>
      <c r="AJ17" s="25">
        <f ca="1">'TUSD BE'!$AJ$17*'TUSD BF'!$AJ$58</f>
        <v>0</v>
      </c>
      <c r="AK17" s="25">
        <f ca="1">'TUSD BE'!$AK$17*'TUSD BF'!$AK$58</f>
        <v>0</v>
      </c>
      <c r="AL17" s="25">
        <f ca="1">SUM($AH$17:$AK$17)</f>
        <v>0</v>
      </c>
      <c r="AM17" s="25">
        <f ca="1">SUMIF($L$4:$AL$4,"SUBTOTAL",$L$17:$AL$17)</f>
        <v>0</v>
      </c>
      <c r="AO17" s="30">
        <f ca="1">+'TUSD BE'!$T$17+'TUSD BE'!$AB$17+'TUSD BE'!$AD$17+'TUSD BE'!$AL$17</f>
        <v>2498.2111476850919</v>
      </c>
      <c r="AP17" s="30">
        <f ca="1">+'TUSD BE'!$T$17+'TUSD BE'!$AB$17+'TUSD BE'!$AD$17+'TUSD BE'!$AL$17</f>
        <v>2498.2111476850919</v>
      </c>
    </row>
    <row r="18" spans="1:42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25">
        <f>'TUSD BE'!$L$18*'TUSD BF'!$L$58</f>
        <v>0</v>
      </c>
      <c r="M18" s="25">
        <f>'TUSD BE'!$M$18*'TUSD BF'!$M$58</f>
        <v>0</v>
      </c>
      <c r="N18" s="25">
        <f ca="1">'TUSD BE'!$N$18*'TUSD BF'!$N$58</f>
        <v>0</v>
      </c>
      <c r="O18" s="25">
        <f>'TUSD BE'!$O$18*'TUSD BF'!$O$58</f>
        <v>0</v>
      </c>
      <c r="P18" s="25">
        <f>'TUSD BE'!$P$18*'TUSD BF'!$P$58</f>
        <v>0</v>
      </c>
      <c r="Q18" s="25">
        <f>'TUSD BE'!$Q$18*'TUSD BF'!$Q$58</f>
        <v>0</v>
      </c>
      <c r="R18" s="25">
        <f>'TUSD BE'!$R$18*'TUSD BF'!$R$58</f>
        <v>0</v>
      </c>
      <c r="S18" s="25">
        <f>'TUSD BE'!$R$18*'TUSD BF'!$S$58</f>
        <v>0</v>
      </c>
      <c r="T18" s="25">
        <f ca="1">SUM($L$18:$S$18)</f>
        <v>0</v>
      </c>
      <c r="U18" s="25">
        <f>'TUSD BE'!$U$18*'TUSD BF'!$U$58</f>
        <v>0</v>
      </c>
      <c r="V18" s="25">
        <f>'TUSD BE'!$V$18*'TUSD BF'!$V$58</f>
        <v>0</v>
      </c>
      <c r="W18" s="25">
        <f>'TUSD BE'!$W$18*'TUSD BF'!$W$58</f>
        <v>0</v>
      </c>
      <c r="X18" s="25">
        <f>'TUSD BE'!$X$18*'TUSD BF'!$X$58</f>
        <v>0</v>
      </c>
      <c r="Y18" s="25">
        <f>'TUSD BE'!$Y$18*'TUSD BF'!$Y$58</f>
        <v>0</v>
      </c>
      <c r="Z18" s="25">
        <f>'TUSD BE'!$Z$18*'TUSD BF'!$Z$58</f>
        <v>0</v>
      </c>
      <c r="AA18" s="25">
        <f>'TUSD BE'!$AA$18*'TUSD BF'!$AA$58</f>
        <v>0</v>
      </c>
      <c r="AB18" s="25">
        <f>SUM($U$18:$AA$18)</f>
        <v>0</v>
      </c>
      <c r="AC18" s="25">
        <f>'TUSD BE'!$AC$18*'TUSD BF'!$AC$58</f>
        <v>0</v>
      </c>
      <c r="AD18" s="25">
        <f>SUM($AC$18:$AC$18)</f>
        <v>0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BF'!$AH$58</f>
        <v>0</v>
      </c>
      <c r="AI18" s="25">
        <f>'TUSD BE'!$AI$18*'TUSD BF'!$AI$58</f>
        <v>0</v>
      </c>
      <c r="AJ18" s="25">
        <f ca="1">'TUSD BE'!$AJ$18*'TUSD BF'!$AJ$58</f>
        <v>0</v>
      </c>
      <c r="AK18" s="25">
        <f ca="1">'TUSD BE'!$AK$18*'TUSD BF'!$AK$58</f>
        <v>0</v>
      </c>
      <c r="AL18" s="25">
        <f ca="1">SUM($AH$18:$AK$18)</f>
        <v>0</v>
      </c>
      <c r="AM18" s="25">
        <f ca="1">SUMIF($L$4:$AL$4,"SUBTOTAL",$L$18:$AL$18)</f>
        <v>0</v>
      </c>
      <c r="AO18" s="30">
        <f ca="1">+'TUSD BE'!$T$18+'TUSD BE'!$AB$18+'TUSD BE'!$AD$18+'TUSD BE'!$AL$18</f>
        <v>1568.0641420542979</v>
      </c>
      <c r="AP18" s="30">
        <f ca="1">+'TUSD BE'!$T$18+'TUSD BE'!$AB$18+'TUSD BE'!$AD$18+'TUSD BE'!$AL$18</f>
        <v>1568.0641420542979</v>
      </c>
    </row>
    <row r="19" spans="1:42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25">
        <f>'TUSD BE'!$L$19*'TUSD BF'!$L$58</f>
        <v>0</v>
      </c>
      <c r="M19" s="25">
        <f>'TUSD BE'!$M$19*'TUSD BF'!$M$58</f>
        <v>0</v>
      </c>
      <c r="N19" s="25">
        <f ca="1">'TUSD BE'!$N$19*'TUSD BF'!$N$58</f>
        <v>0</v>
      </c>
      <c r="O19" s="25">
        <f>'TUSD BE'!$O$19*'TUSD BF'!$O$58</f>
        <v>0</v>
      </c>
      <c r="P19" s="25">
        <f>'TUSD BE'!$P$19*'TUSD BF'!$P$58</f>
        <v>0</v>
      </c>
      <c r="Q19" s="25">
        <f>'TUSD BE'!$Q$19*'TUSD BF'!$Q$58</f>
        <v>0</v>
      </c>
      <c r="R19" s="25">
        <f>'TUSD BE'!$R$19*'TUSD BF'!$R$58</f>
        <v>0</v>
      </c>
      <c r="S19" s="25">
        <f>'TUSD BE'!$R$19*'TUSD BF'!$S$58</f>
        <v>0</v>
      </c>
      <c r="T19" s="25">
        <f ca="1">SUM($L$19:$S$19)</f>
        <v>0</v>
      </c>
      <c r="U19" s="25">
        <f>'TUSD BE'!$U$19*'TUSD BF'!$U$58</f>
        <v>0</v>
      </c>
      <c r="V19" s="25">
        <f>'TUSD BE'!$V$19*'TUSD BF'!$V$58</f>
        <v>0</v>
      </c>
      <c r="W19" s="25">
        <f>'TUSD BE'!$W$19*'TUSD BF'!$W$58</f>
        <v>0</v>
      </c>
      <c r="X19" s="25">
        <f>'TUSD BE'!$X$19*'TUSD BF'!$X$58</f>
        <v>0</v>
      </c>
      <c r="Y19" s="25">
        <f>'TUSD BE'!$Y$19*'TUSD BF'!$Y$58</f>
        <v>0</v>
      </c>
      <c r="Z19" s="25">
        <f>'TUSD BE'!$Z$19*'TUSD BF'!$Z$58</f>
        <v>0</v>
      </c>
      <c r="AA19" s="25">
        <f>'TUSD BE'!$AA$19*'TUSD BF'!$AA$58</f>
        <v>0</v>
      </c>
      <c r="AB19" s="25">
        <f>SUM($U$19:$AA$19)</f>
        <v>0</v>
      </c>
      <c r="AC19" s="25">
        <f>'TUSD BE'!$AC$19*'TUSD BF'!$AC$58</f>
        <v>0</v>
      </c>
      <c r="AD19" s="25">
        <f>SUM($AC$19:$AC$19)</f>
        <v>0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BF'!$AH$58</f>
        <v>0</v>
      </c>
      <c r="AI19" s="25">
        <f>'TUSD BE'!$AI$19*'TUSD BF'!$AI$58</f>
        <v>0</v>
      </c>
      <c r="AJ19" s="25">
        <f ca="1">'TUSD BE'!$AJ$19*'TUSD BF'!$AJ$58</f>
        <v>0</v>
      </c>
      <c r="AK19" s="25">
        <f ca="1">'TUSD BE'!$AK$19*'TUSD BF'!$AK$58</f>
        <v>0</v>
      </c>
      <c r="AL19" s="25">
        <f ca="1">SUM($AH$19:$AK$19)</f>
        <v>0</v>
      </c>
      <c r="AM19" s="25">
        <f ca="1">SUMIF($L$4:$AL$4,"SUBTOTAL",$L$19:$AL$19)</f>
        <v>0</v>
      </c>
      <c r="AO19" s="30">
        <f ca="1">+'TUSD BE'!$T$19+'TUSD BE'!$AB$19+'TUSD BE'!$AD$19+'TUSD BE'!$AL$19</f>
        <v>637.92072611063168</v>
      </c>
      <c r="AP19" s="30">
        <f ca="1">+'TUSD BE'!$T$19+'TUSD BE'!$AB$19+'TUSD BE'!$AD$19+'TUSD BE'!$AL$19</f>
        <v>637.92072611063168</v>
      </c>
    </row>
    <row r="20" spans="1:42" ht="11.25" customHeight="1" x14ac:dyDescent="0.3">
      <c r="A20" s="125"/>
      <c r="B20" s="125" t="s">
        <v>23</v>
      </c>
      <c r="C20" s="125" t="s">
        <v>24</v>
      </c>
      <c r="D20" s="28" t="s">
        <v>24</v>
      </c>
      <c r="E20" s="28" t="s">
        <v>25</v>
      </c>
      <c r="F20" s="28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25">
        <f>'TUSD BE'!$L$20*'TUSD BF'!$L$58</f>
        <v>0</v>
      </c>
      <c r="M20" s="25">
        <f>'TUSD BE'!$M$20*'TUSD BF'!$M$58</f>
        <v>0</v>
      </c>
      <c r="N20" s="25">
        <f ca="1">'TUSD BE'!$N$20*'TUSD BF'!$N$58</f>
        <v>0</v>
      </c>
      <c r="O20" s="25">
        <f>'TUSD BE'!$O$20*'TUSD BF'!$O$58</f>
        <v>0</v>
      </c>
      <c r="P20" s="25">
        <f>'TUSD BE'!$P$20*'TUSD BF'!$P$58</f>
        <v>0</v>
      </c>
      <c r="Q20" s="25">
        <f>'TUSD BE'!$Q$20*'TUSD BF'!$Q$58</f>
        <v>0</v>
      </c>
      <c r="R20" s="25">
        <f>'TUSD BE'!$R$20*'TUSD BF'!$R$58</f>
        <v>0</v>
      </c>
      <c r="S20" s="25">
        <f>'TUSD BE'!$R$20*'TUSD BF'!$S$58</f>
        <v>0</v>
      </c>
      <c r="T20" s="25">
        <f ca="1">SUM($L$20:$S$20)</f>
        <v>0</v>
      </c>
      <c r="U20" s="25">
        <f>'TUSD BE'!$U$20*'TUSD BF'!$U$58</f>
        <v>0</v>
      </c>
      <c r="V20" s="25">
        <f>'TUSD BE'!$V$20*'TUSD BF'!$V$58</f>
        <v>0</v>
      </c>
      <c r="W20" s="25">
        <f>'TUSD BE'!$W$20*'TUSD BF'!$W$58</f>
        <v>0</v>
      </c>
      <c r="X20" s="25">
        <f>'TUSD BE'!$X$20*'TUSD BF'!$X$58</f>
        <v>0</v>
      </c>
      <c r="Y20" s="25">
        <f>'TUSD BE'!$Y$20*'TUSD BF'!$Y$58</f>
        <v>0</v>
      </c>
      <c r="Z20" s="25">
        <f>'TUSD BE'!$Z$20*'TUSD BF'!$Z$58</f>
        <v>0</v>
      </c>
      <c r="AA20" s="25">
        <f>'TUSD BE'!$AA$20*'TUSD BF'!$AA$58</f>
        <v>0</v>
      </c>
      <c r="AB20" s="25">
        <f>SUM($U$20:$AA$20)</f>
        <v>0</v>
      </c>
      <c r="AC20" s="25">
        <f>'TUSD BE'!$AC$20*'TUSD BF'!$AC$58</f>
        <v>0</v>
      </c>
      <c r="AD20" s="25">
        <f>SUM($AC$20:$AC$20)</f>
        <v>0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BF'!$AH$58</f>
        <v>0</v>
      </c>
      <c r="AI20" s="25">
        <f>'TUSD BE'!$AI$20*'TUSD BF'!$AI$58</f>
        <v>0</v>
      </c>
      <c r="AJ20" s="25">
        <f ca="1">'TUSD BE'!$AJ$20*'TUSD BF'!$AJ$58</f>
        <v>0</v>
      </c>
      <c r="AK20" s="25">
        <f ca="1">'TUSD BE'!$AK$20*'TUSD BF'!$AK$58</f>
        <v>0</v>
      </c>
      <c r="AL20" s="25">
        <f ca="1">SUM($AH$20:$AK$20)</f>
        <v>0</v>
      </c>
      <c r="AM20" s="25">
        <f ca="1">SUMIF($L$4:$AL$4,"SUBTOTAL",$L$20:$AL$20)</f>
        <v>0</v>
      </c>
      <c r="AO20" s="30">
        <f ca="1">+'TUSD BE'!$T$20+'TUSD BE'!$AB$20+'TUSD BE'!$AD$20+'TUSD BE'!$AL$20</f>
        <v>974.69732838639129</v>
      </c>
      <c r="AP20" s="30">
        <f ca="1">+'TUSD BE'!$T$20+'TUSD BE'!$AB$20+'TUSD BE'!$AD$20+'TUSD BE'!$AL$20</f>
        <v>974.69732838639129</v>
      </c>
    </row>
    <row r="21" spans="1:42" ht="11.25" customHeight="1" x14ac:dyDescent="0.3">
      <c r="A21" s="125"/>
      <c r="B21" s="125"/>
      <c r="C21" s="125"/>
      <c r="D21" s="28" t="s">
        <v>29</v>
      </c>
      <c r="E21" s="28" t="s">
        <v>25</v>
      </c>
      <c r="F21" s="28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25">
        <f>'TUSD BE'!$L$21*'TUSD BF'!$L$58</f>
        <v>0</v>
      </c>
      <c r="M21" s="25">
        <f>'TUSD BE'!$M$21*'TUSD BF'!$M$58</f>
        <v>0</v>
      </c>
      <c r="N21" s="25">
        <f ca="1">'TUSD BE'!$N$21*'TUSD BF'!$N$58</f>
        <v>0</v>
      </c>
      <c r="O21" s="25">
        <f>'TUSD BE'!$O$21*'TUSD BF'!$O$58</f>
        <v>0</v>
      </c>
      <c r="P21" s="25">
        <f>'TUSD BE'!$P$21*'TUSD BF'!$P$58</f>
        <v>0</v>
      </c>
      <c r="Q21" s="25">
        <f>'TUSD BE'!$Q$21*'TUSD BF'!$Q$58</f>
        <v>0</v>
      </c>
      <c r="R21" s="25">
        <f>'TUSD BE'!$R$21*'TUSD BF'!$R$58</f>
        <v>0</v>
      </c>
      <c r="S21" s="25">
        <f>'TUSD BE'!$R$21*'TUSD BF'!$S$58</f>
        <v>0</v>
      </c>
      <c r="T21" s="25">
        <f ca="1">SUM($L$21:$S$21)</f>
        <v>0</v>
      </c>
      <c r="U21" s="25">
        <f>'TUSD BE'!$U$21*'TUSD BF'!$U$58</f>
        <v>0</v>
      </c>
      <c r="V21" s="25">
        <f>'TUSD BE'!$V$21*'TUSD BF'!$V$58</f>
        <v>0</v>
      </c>
      <c r="W21" s="25">
        <f>'TUSD BE'!$W$21*'TUSD BF'!$W$58</f>
        <v>0</v>
      </c>
      <c r="X21" s="25">
        <f>'TUSD BE'!$X$21*'TUSD BF'!$X$58</f>
        <v>0</v>
      </c>
      <c r="Y21" s="25">
        <f>'TUSD BE'!$Y$21*'TUSD BF'!$Y$58</f>
        <v>0</v>
      </c>
      <c r="Z21" s="25">
        <f>'TUSD BE'!$Z$21*'TUSD BF'!$Z$58</f>
        <v>0</v>
      </c>
      <c r="AA21" s="25">
        <f>'TUSD BE'!$AA$21*'TUSD BF'!$AA$58</f>
        <v>0</v>
      </c>
      <c r="AB21" s="25">
        <f>SUM($U$21:$AA$21)</f>
        <v>0</v>
      </c>
      <c r="AC21" s="25">
        <f>'TUSD BE'!$AC$21*'TUSD BF'!$AC$58</f>
        <v>0</v>
      </c>
      <c r="AD21" s="25">
        <f>SUM($AC$21:$AC$21)</f>
        <v>0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BF'!$AH$58</f>
        <v>0</v>
      </c>
      <c r="AI21" s="25">
        <f>'TUSD BE'!$AI$21*'TUSD BF'!$AI$58</f>
        <v>0</v>
      </c>
      <c r="AJ21" s="25">
        <f ca="1">'TUSD BE'!$AJ$21*'TUSD BF'!$AJ$58</f>
        <v>0</v>
      </c>
      <c r="AK21" s="25">
        <f ca="1">'TUSD BE'!$AK$21*'TUSD BF'!$AK$58</f>
        <v>0</v>
      </c>
      <c r="AL21" s="25">
        <f ca="1">SUM($AH$21:$AK$21)</f>
        <v>0</v>
      </c>
      <c r="AM21" s="25">
        <f ca="1">SUMIF($L$4:$AL$4,"SUBTOTAL",$L$21:$AL$21)</f>
        <v>0</v>
      </c>
      <c r="AO21" s="30">
        <f ca="1">+'TUSD BE'!$T$21+'TUSD BE'!$AB$21+'TUSD BE'!$AD$21+'TUSD BE'!$AL$21</f>
        <v>825.13455109290658</v>
      </c>
      <c r="AP21" s="30">
        <f ca="1">+'TUSD BE'!$T$21+'TUSD BE'!$AB$21+'TUSD BE'!$AD$21+'TUSD BE'!$AL$21</f>
        <v>825.13455109290658</v>
      </c>
    </row>
    <row r="22" spans="1:42" ht="11.25" customHeight="1" x14ac:dyDescent="0.3">
      <c r="A22" s="125"/>
      <c r="B22" s="125"/>
      <c r="C22" s="125"/>
      <c r="D22" s="28" t="s">
        <v>30</v>
      </c>
      <c r="E22" s="28" t="s">
        <v>25</v>
      </c>
      <c r="F22" s="28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25">
        <f>'TUSD BE'!$L$22*'TUSD BF'!$L$58</f>
        <v>0</v>
      </c>
      <c r="M22" s="25">
        <f>'TUSD BE'!$M$22*'TUSD BF'!$M$58</f>
        <v>0</v>
      </c>
      <c r="N22" s="25">
        <f ca="1">'TUSD BE'!$N$22*'TUSD BF'!$N$58</f>
        <v>0</v>
      </c>
      <c r="O22" s="25">
        <f>'TUSD BE'!$O$22*'TUSD BF'!$O$58</f>
        <v>0</v>
      </c>
      <c r="P22" s="25">
        <f>'TUSD BE'!$P$22*'TUSD BF'!$P$58</f>
        <v>0</v>
      </c>
      <c r="Q22" s="25">
        <f>'TUSD BE'!$Q$22*'TUSD BF'!$Q$58</f>
        <v>0</v>
      </c>
      <c r="R22" s="25">
        <f>'TUSD BE'!$R$22*'TUSD BF'!$R$58</f>
        <v>0</v>
      </c>
      <c r="S22" s="25">
        <f>'TUSD BE'!$R$22*'TUSD BF'!$S$58</f>
        <v>0</v>
      </c>
      <c r="T22" s="25">
        <f ca="1">SUM($L$22:$S$22)</f>
        <v>0</v>
      </c>
      <c r="U22" s="25">
        <f>'TUSD BE'!$U$22*'TUSD BF'!$U$58</f>
        <v>0</v>
      </c>
      <c r="V22" s="25">
        <f>'TUSD BE'!$V$22*'TUSD BF'!$V$58</f>
        <v>0</v>
      </c>
      <c r="W22" s="25">
        <f>'TUSD BE'!$W$22*'TUSD BF'!$W$58</f>
        <v>0</v>
      </c>
      <c r="X22" s="25">
        <f>'TUSD BE'!$X$22*'TUSD BF'!$X$58</f>
        <v>0</v>
      </c>
      <c r="Y22" s="25">
        <f>'TUSD BE'!$Y$22*'TUSD BF'!$Y$58</f>
        <v>0</v>
      </c>
      <c r="Z22" s="25">
        <f>'TUSD BE'!$Z$22*'TUSD BF'!$Z$58</f>
        <v>0</v>
      </c>
      <c r="AA22" s="25">
        <f>'TUSD BE'!$AA$22*'TUSD BF'!$AA$58</f>
        <v>0</v>
      </c>
      <c r="AB22" s="25">
        <f>SUM($U$22:$AA$22)</f>
        <v>0</v>
      </c>
      <c r="AC22" s="25">
        <f>'TUSD BE'!$AC$22*'TUSD BF'!$AC$58</f>
        <v>0</v>
      </c>
      <c r="AD22" s="25">
        <f>SUM($AC$22:$AC$22)</f>
        <v>0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BF'!$AH$58</f>
        <v>0</v>
      </c>
      <c r="AI22" s="25">
        <f>'TUSD BE'!$AI$22*'TUSD BF'!$AI$58</f>
        <v>0</v>
      </c>
      <c r="AJ22" s="25">
        <f ca="1">'TUSD BE'!$AJ$22*'TUSD BF'!$AJ$58</f>
        <v>0</v>
      </c>
      <c r="AK22" s="25">
        <f ca="1">'TUSD BE'!$AK$22*'TUSD BF'!$AK$58</f>
        <v>0</v>
      </c>
      <c r="AL22" s="25">
        <f ca="1">SUM($AH$22:$AK$22)</f>
        <v>0</v>
      </c>
      <c r="AM22" s="25">
        <f ca="1">SUMIF($L$4:$AL$4,"SUBTOTAL",$L$22:$AL$22)</f>
        <v>0</v>
      </c>
      <c r="AO22" s="30">
        <f ca="1">+'TUSD BE'!$T$22+'TUSD BE'!$AB$22+'TUSD BE'!$AD$22+'TUSD BE'!$AL$22</f>
        <v>825.13455109290658</v>
      </c>
      <c r="AP22" s="30">
        <f ca="1">+'TUSD BE'!$T$22+'TUSD BE'!$AB$22+'TUSD BE'!$AD$22+'TUSD BE'!$AL$22</f>
        <v>825.13455109290658</v>
      </c>
    </row>
    <row r="23" spans="1:42" ht="11.25" customHeight="1" x14ac:dyDescent="0.3">
      <c r="A23" s="125"/>
      <c r="B23" s="125"/>
      <c r="C23" s="125"/>
      <c r="D23" s="28" t="s">
        <v>31</v>
      </c>
      <c r="E23" s="28" t="s">
        <v>25</v>
      </c>
      <c r="F23" s="28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25">
        <f>'TUSD BE'!$L$23*'TUSD BF'!$L$58</f>
        <v>0</v>
      </c>
      <c r="M23" s="25">
        <f>'TUSD BE'!$M$23*'TUSD BF'!$M$58</f>
        <v>0</v>
      </c>
      <c r="N23" s="25">
        <f ca="1">'TUSD BE'!$N$23*'TUSD BF'!$N$58</f>
        <v>0</v>
      </c>
      <c r="O23" s="25">
        <f>'TUSD BE'!$O$23*'TUSD BF'!$O$58</f>
        <v>0</v>
      </c>
      <c r="P23" s="25">
        <f>'TUSD BE'!$P$23*'TUSD BF'!$P$58</f>
        <v>0</v>
      </c>
      <c r="Q23" s="25">
        <f>'TUSD BE'!$Q$23*'TUSD BF'!$Q$58</f>
        <v>0</v>
      </c>
      <c r="R23" s="25">
        <f>'TUSD BE'!$R$23*'TUSD BF'!$R$58</f>
        <v>0</v>
      </c>
      <c r="S23" s="25">
        <f>'TUSD BE'!$R$23*'TUSD BF'!$S$58</f>
        <v>0</v>
      </c>
      <c r="T23" s="25">
        <f ca="1">SUM($L$23:$S$23)</f>
        <v>0</v>
      </c>
      <c r="U23" s="25">
        <f>'TUSD BE'!$U$23*'TUSD BF'!$U$58</f>
        <v>0</v>
      </c>
      <c r="V23" s="25">
        <f>'TUSD BE'!$V$23*'TUSD BF'!$V$58</f>
        <v>0</v>
      </c>
      <c r="W23" s="25">
        <f>'TUSD BE'!$W$23*'TUSD BF'!$W$58</f>
        <v>0</v>
      </c>
      <c r="X23" s="25">
        <f>'TUSD BE'!$X$23*'TUSD BF'!$X$58</f>
        <v>0</v>
      </c>
      <c r="Y23" s="25">
        <f>'TUSD BE'!$Y$23*'TUSD BF'!$Y$58</f>
        <v>0</v>
      </c>
      <c r="Z23" s="25">
        <f>'TUSD BE'!$Z$23*'TUSD BF'!$Z$58</f>
        <v>0</v>
      </c>
      <c r="AA23" s="25">
        <f>'TUSD BE'!$AA$23*'TUSD BF'!$AA$58</f>
        <v>0</v>
      </c>
      <c r="AB23" s="25">
        <f>SUM($U$23:$AA$23)</f>
        <v>0</v>
      </c>
      <c r="AC23" s="25">
        <f>'TUSD BE'!$AC$23*'TUSD BF'!$AC$58</f>
        <v>0</v>
      </c>
      <c r="AD23" s="25">
        <f>SUM($AC$23:$AC$23)</f>
        <v>0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BF'!$AH$58</f>
        <v>0</v>
      </c>
      <c r="AI23" s="25">
        <f>'TUSD BE'!$AI$23*'TUSD BF'!$AI$58</f>
        <v>0</v>
      </c>
      <c r="AJ23" s="25">
        <f ca="1">'TUSD BE'!$AJ$23*'TUSD BF'!$AJ$58</f>
        <v>0</v>
      </c>
      <c r="AK23" s="25">
        <f ca="1">'TUSD BE'!$AK$23*'TUSD BF'!$AK$58</f>
        <v>0</v>
      </c>
      <c r="AL23" s="25">
        <f ca="1">SUM($AH$23:$AK$23)</f>
        <v>0</v>
      </c>
      <c r="AM23" s="25">
        <f ca="1">SUMIF($L$4:$AL$4,"SUBTOTAL",$L$23:$AL$23)</f>
        <v>0</v>
      </c>
      <c r="AO23" s="30">
        <f ca="1">+'TUSD BE'!$T$23+'TUSD BE'!$AB$23+'TUSD BE'!$AD$23+'TUSD BE'!$AL$23</f>
        <v>825.13455109290658</v>
      </c>
      <c r="AP23" s="30">
        <f ca="1">+'TUSD BE'!$T$23+'TUSD BE'!$AB$23+'TUSD BE'!$AD$23+'TUSD BE'!$AL$23</f>
        <v>825.13455109290658</v>
      </c>
    </row>
    <row r="24" spans="1:42" ht="11.25" customHeight="1" x14ac:dyDescent="0.3">
      <c r="A24" s="125"/>
      <c r="B24" s="125"/>
      <c r="C24" s="125"/>
      <c r="D24" s="28" t="s">
        <v>32</v>
      </c>
      <c r="E24" s="28" t="s">
        <v>25</v>
      </c>
      <c r="F24" s="28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25">
        <f>'TUSD BE'!$L$24*'TUSD BF'!$L$58</f>
        <v>0</v>
      </c>
      <c r="M24" s="25">
        <f>'TUSD BE'!$M$24*'TUSD BF'!$M$58</f>
        <v>0</v>
      </c>
      <c r="N24" s="25">
        <f ca="1">'TUSD BE'!$N$24*'TUSD BF'!$N$58</f>
        <v>0</v>
      </c>
      <c r="O24" s="25">
        <f>'TUSD BE'!$O$24*'TUSD BF'!$O$58</f>
        <v>0</v>
      </c>
      <c r="P24" s="25">
        <f>'TUSD BE'!$P$24*'TUSD BF'!$P$58</f>
        <v>0</v>
      </c>
      <c r="Q24" s="25">
        <f>'TUSD BE'!$Q$24*'TUSD BF'!$Q$58</f>
        <v>0</v>
      </c>
      <c r="R24" s="25">
        <f>'TUSD BE'!$R$24*'TUSD BF'!$R$58</f>
        <v>0</v>
      </c>
      <c r="S24" s="25">
        <f>'TUSD BE'!$R$24*'TUSD BF'!$S$58</f>
        <v>0</v>
      </c>
      <c r="T24" s="25">
        <f ca="1">SUM($L$24:$S$24)</f>
        <v>0</v>
      </c>
      <c r="U24" s="25">
        <f>'TUSD BE'!$U$24*'TUSD BF'!$U$58</f>
        <v>0</v>
      </c>
      <c r="V24" s="25">
        <f>'TUSD BE'!$V$24*'TUSD BF'!$V$58</f>
        <v>0</v>
      </c>
      <c r="W24" s="25">
        <f>'TUSD BE'!$W$24*'TUSD BF'!$W$58</f>
        <v>0</v>
      </c>
      <c r="X24" s="25">
        <f>'TUSD BE'!$X$24*'TUSD BF'!$X$58</f>
        <v>0</v>
      </c>
      <c r="Y24" s="25">
        <f>'TUSD BE'!$Y$24*'TUSD BF'!$Y$58</f>
        <v>0</v>
      </c>
      <c r="Z24" s="25">
        <f>'TUSD BE'!$Z$24*'TUSD BF'!$Z$58</f>
        <v>0</v>
      </c>
      <c r="AA24" s="25">
        <f>'TUSD BE'!$AA$24*'TUSD BF'!$AA$58</f>
        <v>0</v>
      </c>
      <c r="AB24" s="25">
        <f>SUM($U$24:$AA$24)</f>
        <v>0</v>
      </c>
      <c r="AC24" s="25">
        <f>'TUSD BE'!$AC$24*'TUSD BF'!$AC$58</f>
        <v>0</v>
      </c>
      <c r="AD24" s="25">
        <f>SUM($AC$24:$AC$24)</f>
        <v>0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BF'!$AH$58</f>
        <v>0</v>
      </c>
      <c r="AI24" s="25">
        <f>'TUSD BE'!$AI$24*'TUSD BF'!$AI$58</f>
        <v>0</v>
      </c>
      <c r="AJ24" s="25">
        <f ca="1">'TUSD BE'!$AJ$24*'TUSD BF'!$AJ$58</f>
        <v>0</v>
      </c>
      <c r="AK24" s="25">
        <f ca="1">'TUSD BE'!$AK$24*'TUSD BF'!$AK$58</f>
        <v>0</v>
      </c>
      <c r="AL24" s="25">
        <f ca="1">SUM($AH$24:$AK$24)</f>
        <v>0</v>
      </c>
      <c r="AM24" s="25">
        <f ca="1">SUMIF($L$4:$AL$4,"SUBTOTAL",$L$24:$AL$24)</f>
        <v>0</v>
      </c>
      <c r="AO24" s="30">
        <f ca="1">+'TUSD BE'!$T$24+'TUSD BE'!$AB$24+'TUSD BE'!$AD$24+'TUSD BE'!$AL$24</f>
        <v>825.13455109290658</v>
      </c>
      <c r="AP24" s="30">
        <f ca="1">+'TUSD BE'!$T$24+'TUSD BE'!$AB$24+'TUSD BE'!$AD$24+'TUSD BE'!$AL$24</f>
        <v>825.13455109290658</v>
      </c>
    </row>
    <row r="25" spans="1:42" ht="11.25" customHeight="1" x14ac:dyDescent="0.3">
      <c r="A25" s="125"/>
      <c r="B25" s="125" t="s">
        <v>84</v>
      </c>
      <c r="C25" s="125" t="s">
        <v>24</v>
      </c>
      <c r="D25" s="28" t="s">
        <v>24</v>
      </c>
      <c r="E25" s="28" t="s">
        <v>25</v>
      </c>
      <c r="F25" s="28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25">
        <f>'TUSD BE'!$L$25*'TUSD BF'!$L$58</f>
        <v>0</v>
      </c>
      <c r="M25" s="25">
        <f>'TUSD BE'!$M$25*'TUSD BF'!$M$58</f>
        <v>0</v>
      </c>
      <c r="N25" s="25">
        <f ca="1">'TUSD BE'!$N$25*'TUSD BF'!$N$58</f>
        <v>0</v>
      </c>
      <c r="O25" s="25">
        <f>'TUSD BE'!$O$25*'TUSD BF'!$O$58</f>
        <v>0</v>
      </c>
      <c r="P25" s="25">
        <f>'TUSD BE'!$P$25*'TUSD BF'!$P$58</f>
        <v>0</v>
      </c>
      <c r="Q25" s="25">
        <f>'TUSD BE'!$Q$25*'TUSD BF'!$Q$58</f>
        <v>0</v>
      </c>
      <c r="R25" s="25">
        <f>'TUSD BE'!$R$25*'TUSD BF'!$R$58</f>
        <v>0</v>
      </c>
      <c r="S25" s="25">
        <f>'TUSD BE'!$R$25*'TUSD BF'!$S$58</f>
        <v>0</v>
      </c>
      <c r="T25" s="25">
        <f ca="1">SUM($L$25:$S$25)</f>
        <v>0</v>
      </c>
      <c r="U25" s="25">
        <f>'TUSD BE'!$U$25*'TUSD BF'!$U$58</f>
        <v>0</v>
      </c>
      <c r="V25" s="25">
        <f>'TUSD BE'!$V$25*'TUSD BF'!$V$58</f>
        <v>0</v>
      </c>
      <c r="W25" s="25">
        <f>'TUSD BE'!$W$25*'TUSD BF'!$W$58</f>
        <v>0</v>
      </c>
      <c r="X25" s="25">
        <f>'TUSD BE'!$X$25*'TUSD BF'!$X$58</f>
        <v>0</v>
      </c>
      <c r="Y25" s="25">
        <f>'TUSD BE'!$Y$25*'TUSD BF'!$Y$58</f>
        <v>0</v>
      </c>
      <c r="Z25" s="25">
        <f>'TUSD BE'!$Z$25*'TUSD BF'!$Z$58</f>
        <v>0</v>
      </c>
      <c r="AA25" s="25">
        <f>'TUSD BE'!$AA$25*'TUSD BF'!$AA$58</f>
        <v>0</v>
      </c>
      <c r="AB25" s="25">
        <f>SUM($U$25:$AA$25)</f>
        <v>0</v>
      </c>
      <c r="AC25" s="25">
        <f>'TUSD BE'!$AC$25*'TUSD BF'!$AC$58</f>
        <v>0</v>
      </c>
      <c r="AD25" s="25">
        <f>SUM($AC$25:$AC$25)</f>
        <v>0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BF'!$AH$58</f>
        <v>0</v>
      </c>
      <c r="AI25" s="25">
        <f>'TUSD BE'!$AI$25*'TUSD BF'!$AI$58</f>
        <v>0</v>
      </c>
      <c r="AJ25" s="25">
        <f ca="1">'TUSD BE'!$AJ$25*'TUSD BF'!$AJ$58</f>
        <v>0</v>
      </c>
      <c r="AK25" s="25">
        <f ca="1">'TUSD BE'!$AK$25*'TUSD BF'!$AK$58</f>
        <v>0</v>
      </c>
      <c r="AL25" s="25">
        <f ca="1">SUM($AH$25:$AK$25)</f>
        <v>0</v>
      </c>
      <c r="AM25" s="25">
        <f ca="1">SUMIF($L$4:$AL$4,"SUBTOTAL",$L$25:$AL$25)</f>
        <v>0</v>
      </c>
      <c r="AO25" s="30">
        <f ca="1">+'TUSD BE'!$T$25+'TUSD BE'!$AB$25+'TUSD BE'!$AD$25+'TUSD BE'!$AL$25</f>
        <v>974.69732838639129</v>
      </c>
      <c r="AP25" s="30">
        <f ca="1">+'TUSD BE'!$T$25+'TUSD BE'!$AB$25+'TUSD BE'!$AD$25+'TUSD BE'!$AL$25</f>
        <v>974.69732838639129</v>
      </c>
    </row>
    <row r="26" spans="1:42" ht="11.25" customHeight="1" x14ac:dyDescent="0.3">
      <c r="A26" s="125"/>
      <c r="B26" s="125"/>
      <c r="C26" s="125"/>
      <c r="D26" s="28" t="s">
        <v>29</v>
      </c>
      <c r="E26" s="28" t="s">
        <v>25</v>
      </c>
      <c r="F26" s="28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25">
        <f>'TUSD BE'!$L$26*'TUSD BF'!$L$58</f>
        <v>0</v>
      </c>
      <c r="M26" s="25">
        <f>'TUSD BE'!$M$26*'TUSD BF'!$M$58</f>
        <v>0</v>
      </c>
      <c r="N26" s="25">
        <f ca="1">'TUSD BE'!$N$26*'TUSD BF'!$N$58</f>
        <v>0</v>
      </c>
      <c r="O26" s="25">
        <f>'TUSD BE'!$O$26*'TUSD BF'!$O$58</f>
        <v>0</v>
      </c>
      <c r="P26" s="25">
        <f>'TUSD BE'!$P$26*'TUSD BF'!$P$58</f>
        <v>0</v>
      </c>
      <c r="Q26" s="25">
        <f>'TUSD BE'!$Q$26*'TUSD BF'!$Q$58</f>
        <v>0</v>
      </c>
      <c r="R26" s="25">
        <f>'TUSD BE'!$R$26*'TUSD BF'!$R$58</f>
        <v>0</v>
      </c>
      <c r="S26" s="25">
        <f>'TUSD BE'!$R$26*'TUSD BF'!$S$58</f>
        <v>0</v>
      </c>
      <c r="T26" s="25">
        <f ca="1">SUM($L$26:$S$26)</f>
        <v>0</v>
      </c>
      <c r="U26" s="25">
        <f>'TUSD BE'!$U$26*'TUSD BF'!$U$58</f>
        <v>0</v>
      </c>
      <c r="V26" s="25">
        <f>'TUSD BE'!$V$26*'TUSD BF'!$V$58</f>
        <v>0</v>
      </c>
      <c r="W26" s="25">
        <f>'TUSD BE'!$W$26*'TUSD BF'!$W$58</f>
        <v>0</v>
      </c>
      <c r="X26" s="25">
        <f>'TUSD BE'!$X$26*'TUSD BF'!$X$58</f>
        <v>0</v>
      </c>
      <c r="Y26" s="25">
        <f>'TUSD BE'!$Y$26*'TUSD BF'!$Y$58</f>
        <v>0</v>
      </c>
      <c r="Z26" s="25">
        <f>'TUSD BE'!$Z$26*'TUSD BF'!$Z$58</f>
        <v>0</v>
      </c>
      <c r="AA26" s="25">
        <f>'TUSD BE'!$AA$26*'TUSD BF'!$AA$58</f>
        <v>0</v>
      </c>
      <c r="AB26" s="25">
        <f>SUM($U$26:$AA$26)</f>
        <v>0</v>
      </c>
      <c r="AC26" s="25">
        <f>'TUSD BE'!$AC$26*'TUSD BF'!$AC$58</f>
        <v>0</v>
      </c>
      <c r="AD26" s="25">
        <f>SUM($AC$26:$AC$26)</f>
        <v>0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BF'!$AH$58</f>
        <v>0</v>
      </c>
      <c r="AI26" s="25">
        <f>'TUSD BE'!$AI$26*'TUSD BF'!$AI$58</f>
        <v>0</v>
      </c>
      <c r="AJ26" s="25">
        <f ca="1">'TUSD BE'!$AJ$26*'TUSD BF'!$AJ$58</f>
        <v>0</v>
      </c>
      <c r="AK26" s="25">
        <f ca="1">'TUSD BE'!$AK$26*'TUSD BF'!$AK$58</f>
        <v>0</v>
      </c>
      <c r="AL26" s="25">
        <f ca="1">SUM($AH$26:$AK$26)</f>
        <v>0</v>
      </c>
      <c r="AM26" s="25">
        <f ca="1">SUMIF($L$4:$AL$4,"SUBTOTAL",$L$26:$AL$26)</f>
        <v>0</v>
      </c>
      <c r="AO26" s="30">
        <f ca="1">+'TUSD BE'!$T$26+'TUSD BE'!$AB$26+'TUSD BE'!$AD$26+'TUSD BE'!$AL$26</f>
        <v>825.13455109290658</v>
      </c>
      <c r="AP26" s="30">
        <f ca="1">+'TUSD BE'!$T$26+'TUSD BE'!$AB$26+'TUSD BE'!$AD$26+'TUSD BE'!$AL$26</f>
        <v>825.13455109290658</v>
      </c>
    </row>
    <row r="27" spans="1:42" ht="11.25" customHeight="1" x14ac:dyDescent="0.3">
      <c r="A27" s="125"/>
      <c r="B27" s="125"/>
      <c r="C27" s="125"/>
      <c r="D27" s="28" t="s">
        <v>30</v>
      </c>
      <c r="E27" s="28" t="s">
        <v>25</v>
      </c>
      <c r="F27" s="28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25">
        <f>'TUSD BE'!$L$27*'TUSD BF'!$L$58</f>
        <v>0</v>
      </c>
      <c r="M27" s="25">
        <f>'TUSD BE'!$M$27*'TUSD BF'!$M$58</f>
        <v>0</v>
      </c>
      <c r="N27" s="25">
        <f ca="1">'TUSD BE'!$N$27*'TUSD BF'!$N$58</f>
        <v>0</v>
      </c>
      <c r="O27" s="25">
        <f>'TUSD BE'!$O$27*'TUSD BF'!$O$58</f>
        <v>0</v>
      </c>
      <c r="P27" s="25">
        <f>'TUSD BE'!$P$27*'TUSD BF'!$P$58</f>
        <v>0</v>
      </c>
      <c r="Q27" s="25">
        <f>'TUSD BE'!$Q$27*'TUSD BF'!$Q$58</f>
        <v>0</v>
      </c>
      <c r="R27" s="25">
        <f>'TUSD BE'!$R$27*'TUSD BF'!$R$58</f>
        <v>0</v>
      </c>
      <c r="S27" s="25">
        <f>'TUSD BE'!$R$27*'TUSD BF'!$S$58</f>
        <v>0</v>
      </c>
      <c r="T27" s="25">
        <f ca="1">SUM($L$27:$S$27)</f>
        <v>0</v>
      </c>
      <c r="U27" s="25">
        <f>'TUSD BE'!$U$27*'TUSD BF'!$U$58</f>
        <v>0</v>
      </c>
      <c r="V27" s="25">
        <f>'TUSD BE'!$V$27*'TUSD BF'!$V$58</f>
        <v>0</v>
      </c>
      <c r="W27" s="25">
        <f>'TUSD BE'!$W$27*'TUSD BF'!$W$58</f>
        <v>0</v>
      </c>
      <c r="X27" s="25">
        <f>'TUSD BE'!$X$27*'TUSD BF'!$X$58</f>
        <v>0</v>
      </c>
      <c r="Y27" s="25">
        <f>'TUSD BE'!$Y$27*'TUSD BF'!$Y$58</f>
        <v>0</v>
      </c>
      <c r="Z27" s="25">
        <f>'TUSD BE'!$Z$27*'TUSD BF'!$Z$58</f>
        <v>0</v>
      </c>
      <c r="AA27" s="25">
        <f>'TUSD BE'!$AA$27*'TUSD BF'!$AA$58</f>
        <v>0</v>
      </c>
      <c r="AB27" s="25">
        <f>SUM($U$27:$AA$27)</f>
        <v>0</v>
      </c>
      <c r="AC27" s="25">
        <f>'TUSD BE'!$AC$27*'TUSD BF'!$AC$58</f>
        <v>0</v>
      </c>
      <c r="AD27" s="25">
        <f>SUM($AC$27:$AC$27)</f>
        <v>0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BF'!$AH$58</f>
        <v>0</v>
      </c>
      <c r="AI27" s="25">
        <f>'TUSD BE'!$AI$27*'TUSD BF'!$AI$58</f>
        <v>0</v>
      </c>
      <c r="AJ27" s="25">
        <f ca="1">'TUSD BE'!$AJ$27*'TUSD BF'!$AJ$58</f>
        <v>0</v>
      </c>
      <c r="AK27" s="25">
        <f ca="1">'TUSD BE'!$AK$27*'TUSD BF'!$AK$58</f>
        <v>0</v>
      </c>
      <c r="AL27" s="25">
        <f ca="1">SUM($AH$27:$AK$27)</f>
        <v>0</v>
      </c>
      <c r="AM27" s="25">
        <f ca="1">SUMIF($L$4:$AL$4,"SUBTOTAL",$L$27:$AL$27)</f>
        <v>0</v>
      </c>
      <c r="AO27" s="30">
        <f ca="1">+'TUSD BE'!$T$27+'TUSD BE'!$AB$27+'TUSD BE'!$AD$27+'TUSD BE'!$AL$27</f>
        <v>825.13455109290658</v>
      </c>
      <c r="AP27" s="30">
        <f ca="1">+'TUSD BE'!$T$27+'TUSD BE'!$AB$27+'TUSD BE'!$AD$27+'TUSD BE'!$AL$27</f>
        <v>825.13455109290658</v>
      </c>
    </row>
    <row r="28" spans="1:42" ht="11.25" customHeight="1" x14ac:dyDescent="0.3">
      <c r="A28" s="125"/>
      <c r="B28" s="125"/>
      <c r="C28" s="125"/>
      <c r="D28" s="28" t="s">
        <v>31</v>
      </c>
      <c r="E28" s="28" t="s">
        <v>25</v>
      </c>
      <c r="F28" s="28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25">
        <f>'TUSD BE'!$L$28*'TUSD BF'!$L$58</f>
        <v>0</v>
      </c>
      <c r="M28" s="25">
        <f>'TUSD BE'!$M$28*'TUSD BF'!$M$58</f>
        <v>0</v>
      </c>
      <c r="N28" s="25">
        <f ca="1">'TUSD BE'!$N$28*'TUSD BF'!$N$58</f>
        <v>0</v>
      </c>
      <c r="O28" s="25">
        <f>'TUSD BE'!$O$28*'TUSD BF'!$O$58</f>
        <v>0</v>
      </c>
      <c r="P28" s="25">
        <f>'TUSD BE'!$P$28*'TUSD BF'!$P$58</f>
        <v>0</v>
      </c>
      <c r="Q28" s="25">
        <f>'TUSD BE'!$Q$28*'TUSD BF'!$Q$58</f>
        <v>0</v>
      </c>
      <c r="R28" s="25">
        <f>'TUSD BE'!$R$28*'TUSD BF'!$R$58</f>
        <v>0</v>
      </c>
      <c r="S28" s="25">
        <f>'TUSD BE'!$R$28*'TUSD BF'!$S$58</f>
        <v>0</v>
      </c>
      <c r="T28" s="25">
        <f ca="1">SUM($L$28:$S$28)</f>
        <v>0</v>
      </c>
      <c r="U28" s="25">
        <f>'TUSD BE'!$U$28*'TUSD BF'!$U$58</f>
        <v>0</v>
      </c>
      <c r="V28" s="25">
        <f>'TUSD BE'!$V$28*'TUSD BF'!$V$58</f>
        <v>0</v>
      </c>
      <c r="W28" s="25">
        <f>'TUSD BE'!$W$28*'TUSD BF'!$W$58</f>
        <v>0</v>
      </c>
      <c r="X28" s="25">
        <f>'TUSD BE'!$X$28*'TUSD BF'!$X$58</f>
        <v>0</v>
      </c>
      <c r="Y28" s="25">
        <f>'TUSD BE'!$Y$28*'TUSD BF'!$Y$58</f>
        <v>0</v>
      </c>
      <c r="Z28" s="25">
        <f>'TUSD BE'!$Z$28*'TUSD BF'!$Z$58</f>
        <v>0</v>
      </c>
      <c r="AA28" s="25">
        <f>'TUSD BE'!$AA$28*'TUSD BF'!$AA$58</f>
        <v>0</v>
      </c>
      <c r="AB28" s="25">
        <f>SUM($U$28:$AA$28)</f>
        <v>0</v>
      </c>
      <c r="AC28" s="25">
        <f>'TUSD BE'!$AC$28*'TUSD BF'!$AC$58</f>
        <v>0</v>
      </c>
      <c r="AD28" s="25">
        <f>SUM($AC$28:$AC$28)</f>
        <v>0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BF'!$AH$58</f>
        <v>0</v>
      </c>
      <c r="AI28" s="25">
        <f>'TUSD BE'!$AI$28*'TUSD BF'!$AI$58</f>
        <v>0</v>
      </c>
      <c r="AJ28" s="25">
        <f ca="1">'TUSD BE'!$AJ$28*'TUSD BF'!$AJ$58</f>
        <v>0</v>
      </c>
      <c r="AK28" s="25">
        <f ca="1">'TUSD BE'!$AK$28*'TUSD BF'!$AK$58</f>
        <v>0</v>
      </c>
      <c r="AL28" s="25">
        <f ca="1">SUM($AH$28:$AK$28)</f>
        <v>0</v>
      </c>
      <c r="AM28" s="25">
        <f ca="1">SUMIF($L$4:$AL$4,"SUBTOTAL",$L$28:$AL$28)</f>
        <v>0</v>
      </c>
      <c r="AO28" s="30">
        <f ca="1">+'TUSD BE'!$T$28+'TUSD BE'!$AB$28+'TUSD BE'!$AD$28+'TUSD BE'!$AL$28</f>
        <v>825.13455109290658</v>
      </c>
      <c r="AP28" s="30">
        <f ca="1">+'TUSD BE'!$T$28+'TUSD BE'!$AB$28+'TUSD BE'!$AD$28+'TUSD BE'!$AL$28</f>
        <v>825.13455109290658</v>
      </c>
    </row>
    <row r="29" spans="1:42" ht="11.25" customHeight="1" x14ac:dyDescent="0.3">
      <c r="A29" s="125"/>
      <c r="B29" s="125"/>
      <c r="C29" s="125"/>
      <c r="D29" s="28" t="s">
        <v>32</v>
      </c>
      <c r="E29" s="28" t="s">
        <v>25</v>
      </c>
      <c r="F29" s="28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25">
        <f>'TUSD BE'!$L$29*'TUSD BF'!$L$58</f>
        <v>0</v>
      </c>
      <c r="M29" s="25">
        <f>'TUSD BE'!$M$29*'TUSD BF'!$M$58</f>
        <v>0</v>
      </c>
      <c r="N29" s="25">
        <f ca="1">'TUSD BE'!$N$29*'TUSD BF'!$N$58</f>
        <v>0</v>
      </c>
      <c r="O29" s="25">
        <f>'TUSD BE'!$O$29*'TUSD BF'!$O$58</f>
        <v>0</v>
      </c>
      <c r="P29" s="25">
        <f>'TUSD BE'!$P$29*'TUSD BF'!$P$58</f>
        <v>0</v>
      </c>
      <c r="Q29" s="25">
        <f>'TUSD BE'!$Q$29*'TUSD BF'!$Q$58</f>
        <v>0</v>
      </c>
      <c r="R29" s="25">
        <f>'TUSD BE'!$R$29*'TUSD BF'!$R$58</f>
        <v>0</v>
      </c>
      <c r="S29" s="25">
        <f>'TUSD BE'!$R$29*'TUSD BF'!$S$58</f>
        <v>0</v>
      </c>
      <c r="T29" s="25">
        <f ca="1">SUM($L$29:$S$29)</f>
        <v>0</v>
      </c>
      <c r="U29" s="25">
        <f>'TUSD BE'!$U$29*'TUSD BF'!$U$58</f>
        <v>0</v>
      </c>
      <c r="V29" s="25">
        <f>'TUSD BE'!$V$29*'TUSD BF'!$V$58</f>
        <v>0</v>
      </c>
      <c r="W29" s="25">
        <f>'TUSD BE'!$W$29*'TUSD BF'!$W$58</f>
        <v>0</v>
      </c>
      <c r="X29" s="25">
        <f>'TUSD BE'!$X$29*'TUSD BF'!$X$58</f>
        <v>0</v>
      </c>
      <c r="Y29" s="25">
        <f>'TUSD BE'!$Y$29*'TUSD BF'!$Y$58</f>
        <v>0</v>
      </c>
      <c r="Z29" s="25">
        <f>'TUSD BE'!$Z$29*'TUSD BF'!$Z$58</f>
        <v>0</v>
      </c>
      <c r="AA29" s="25">
        <f>'TUSD BE'!$AA$29*'TUSD BF'!$AA$58</f>
        <v>0</v>
      </c>
      <c r="AB29" s="25">
        <f>SUM($U$29:$AA$29)</f>
        <v>0</v>
      </c>
      <c r="AC29" s="25">
        <f>'TUSD BE'!$AC$29*'TUSD BF'!$AC$58</f>
        <v>0</v>
      </c>
      <c r="AD29" s="25">
        <f>SUM($AC$29:$AC$29)</f>
        <v>0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BF'!$AH$58</f>
        <v>0</v>
      </c>
      <c r="AI29" s="25">
        <f>'TUSD BE'!$AI$29*'TUSD BF'!$AI$58</f>
        <v>0</v>
      </c>
      <c r="AJ29" s="25">
        <f ca="1">'TUSD BE'!$AJ$29*'TUSD BF'!$AJ$58</f>
        <v>0</v>
      </c>
      <c r="AK29" s="25">
        <f ca="1">'TUSD BE'!$AK$29*'TUSD BF'!$AK$58</f>
        <v>0</v>
      </c>
      <c r="AL29" s="25">
        <f ca="1">SUM($AH$29:$AK$29)</f>
        <v>0</v>
      </c>
      <c r="AM29" s="25">
        <f ca="1">SUMIF($L$4:$AL$4,"SUBTOTAL",$L$29:$AL$29)</f>
        <v>0</v>
      </c>
      <c r="AO29" s="30">
        <f ca="1">+'TUSD BE'!$T$29+'TUSD BE'!$AB$29+'TUSD BE'!$AD$29+'TUSD BE'!$AL$29</f>
        <v>825.13455109290658</v>
      </c>
      <c r="AP29" s="30">
        <f ca="1">+'TUSD BE'!$T$29+'TUSD BE'!$AB$29+'TUSD BE'!$AD$29+'TUSD BE'!$AL$29</f>
        <v>825.13455109290658</v>
      </c>
    </row>
    <row r="30" spans="1:42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25">
        <f>'TUSD BE'!$L$30*'TUSD BF'!$L$58</f>
        <v>0</v>
      </c>
      <c r="M30" s="25">
        <f>'TUSD BE'!$M$30*'TUSD BF'!$M$58</f>
        <v>0</v>
      </c>
      <c r="N30" s="25">
        <f ca="1">'TUSD BE'!$N$30*'TUSD BF'!$N$58</f>
        <v>0</v>
      </c>
      <c r="O30" s="25">
        <f>'TUSD BE'!$O$30*'TUSD BF'!$O$58</f>
        <v>0</v>
      </c>
      <c r="P30" s="25">
        <f>'TUSD BE'!$P$30*'TUSD BF'!$P$58</f>
        <v>0</v>
      </c>
      <c r="Q30" s="25">
        <f>'TUSD BE'!$Q$30*'TUSD BF'!$Q$58</f>
        <v>0</v>
      </c>
      <c r="R30" s="25">
        <f>'TUSD BE'!$R$30*'TUSD BF'!$R$58</f>
        <v>0</v>
      </c>
      <c r="S30" s="25">
        <f>'TUSD BE'!$R$30*'TUSD BF'!$S$58</f>
        <v>0</v>
      </c>
      <c r="T30" s="25">
        <f ca="1">SUM($L$30:$S$30)</f>
        <v>0</v>
      </c>
      <c r="U30" s="25">
        <f>'TUSD BE'!$U$30*'TUSD BF'!$U$58</f>
        <v>0</v>
      </c>
      <c r="V30" s="25">
        <f>'TUSD BE'!$V$30*'TUSD BF'!$V$58</f>
        <v>0</v>
      </c>
      <c r="W30" s="25">
        <f>'TUSD BE'!$W$30*'TUSD BF'!$W$58</f>
        <v>0</v>
      </c>
      <c r="X30" s="25">
        <f>'TUSD BE'!$X$30*'TUSD BF'!$X$58</f>
        <v>0</v>
      </c>
      <c r="Y30" s="25">
        <f>'TUSD BE'!$Y$30*'TUSD BF'!$Y$58</f>
        <v>0</v>
      </c>
      <c r="Z30" s="25">
        <f>'TUSD BE'!$Z$30*'TUSD BF'!$Z$58</f>
        <v>0</v>
      </c>
      <c r="AA30" s="25">
        <f>'TUSD BE'!$AA$30*'TUSD BF'!$AA$58</f>
        <v>0</v>
      </c>
      <c r="AB30" s="25">
        <f>SUM($U$30:$AA$30)</f>
        <v>0</v>
      </c>
      <c r="AC30" s="25">
        <f>'TUSD BE'!$AC$30*'TUSD BF'!$AC$58</f>
        <v>0</v>
      </c>
      <c r="AD30" s="25">
        <f>SUM($AC$30:$AC$30)</f>
        <v>0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BF'!$AH$58</f>
        <v>0</v>
      </c>
      <c r="AI30" s="25">
        <f>'TUSD BE'!$AI$30*'TUSD BF'!$AI$58</f>
        <v>0</v>
      </c>
      <c r="AJ30" s="25">
        <f ca="1">'TUSD BE'!$AJ$30*'TUSD BF'!$AJ$58</f>
        <v>0</v>
      </c>
      <c r="AK30" s="25">
        <f ca="1">'TUSD BE'!$AK$30*'TUSD BF'!$AK$58</f>
        <v>0</v>
      </c>
      <c r="AL30" s="25">
        <f ca="1">SUM($AH$30:$AK$30)</f>
        <v>0</v>
      </c>
      <c r="AM30" s="25">
        <f ca="1">SUMIF($L$4:$AL$4,"SUBTOTAL",$L$30:$AL$30)</f>
        <v>0</v>
      </c>
      <c r="AO30" s="30">
        <f ca="1">+'TUSD BE'!$T$30+'TUSD BE'!$AB$30+'TUSD BE'!$AD$30+'TUSD BE'!$AL$30</f>
        <v>2578.3971762037763</v>
      </c>
      <c r="AP30" s="30">
        <f ca="1">+'TUSD BE'!$T$30+'TUSD BE'!$AB$30+'TUSD BE'!$AD$30+'TUSD BE'!$AL$30</f>
        <v>2578.3971762037763</v>
      </c>
    </row>
    <row r="31" spans="1:42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25">
        <f>'TUSD BE'!$L$31*'TUSD BF'!$L$58</f>
        <v>0</v>
      </c>
      <c r="M31" s="25">
        <f>'TUSD BE'!$M$31*'TUSD BF'!$M$58</f>
        <v>0</v>
      </c>
      <c r="N31" s="25">
        <f ca="1">'TUSD BE'!$N$31*'TUSD BF'!$N$58</f>
        <v>0</v>
      </c>
      <c r="O31" s="25">
        <f>'TUSD BE'!$O$31*'TUSD BF'!$O$58</f>
        <v>0</v>
      </c>
      <c r="P31" s="25">
        <f>'TUSD BE'!$P$31*'TUSD BF'!$P$58</f>
        <v>0</v>
      </c>
      <c r="Q31" s="25">
        <f>'TUSD BE'!$Q$31*'TUSD BF'!$Q$58</f>
        <v>0</v>
      </c>
      <c r="R31" s="25">
        <f>'TUSD BE'!$R$31*'TUSD BF'!$R$58</f>
        <v>0</v>
      </c>
      <c r="S31" s="25">
        <f>'TUSD BE'!$R$31*'TUSD BF'!$S$58</f>
        <v>0</v>
      </c>
      <c r="T31" s="25">
        <f ca="1">SUM($L$31:$S$31)</f>
        <v>0</v>
      </c>
      <c r="U31" s="25">
        <f>'TUSD BE'!$U$31*'TUSD BF'!$U$58</f>
        <v>0</v>
      </c>
      <c r="V31" s="25">
        <f>'TUSD BE'!$V$31*'TUSD BF'!$V$58</f>
        <v>0</v>
      </c>
      <c r="W31" s="25">
        <f>'TUSD BE'!$W$31*'TUSD BF'!$W$58</f>
        <v>0</v>
      </c>
      <c r="X31" s="25">
        <f>'TUSD BE'!$X$31*'TUSD BF'!$X$58</f>
        <v>0</v>
      </c>
      <c r="Y31" s="25">
        <f>'TUSD BE'!$Y$31*'TUSD BF'!$Y$58</f>
        <v>0</v>
      </c>
      <c r="Z31" s="25">
        <f>'TUSD BE'!$Z$31*'TUSD BF'!$Z$58</f>
        <v>0</v>
      </c>
      <c r="AA31" s="25">
        <f>'TUSD BE'!$AA$31*'TUSD BF'!$AA$58</f>
        <v>0</v>
      </c>
      <c r="AB31" s="25">
        <f>SUM($U$31:$AA$31)</f>
        <v>0</v>
      </c>
      <c r="AC31" s="25">
        <f>'TUSD BE'!$AC$31*'TUSD BF'!$AC$58</f>
        <v>0</v>
      </c>
      <c r="AD31" s="25">
        <f>SUM($AC$31:$AC$31)</f>
        <v>0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BF'!$AH$58</f>
        <v>0</v>
      </c>
      <c r="AI31" s="25">
        <f>'TUSD BE'!$AI$31*'TUSD BF'!$AI$58</f>
        <v>0</v>
      </c>
      <c r="AJ31" s="25">
        <f ca="1">'TUSD BE'!$AJ$31*'TUSD BF'!$AJ$58</f>
        <v>0</v>
      </c>
      <c r="AK31" s="25">
        <f ca="1">'TUSD BE'!$AK$31*'TUSD BF'!$AK$58</f>
        <v>0</v>
      </c>
      <c r="AL31" s="25">
        <f ca="1">SUM($AH$31:$AK$31)</f>
        <v>0</v>
      </c>
      <c r="AM31" s="25">
        <f ca="1">SUMIF($L$4:$AL$4,"SUBTOTAL",$L$31:$AL$31)</f>
        <v>0</v>
      </c>
      <c r="AO31" s="30">
        <f ca="1">+'TUSD BE'!$T$31+'TUSD BE'!$AB$31+'TUSD BE'!$AD$31+'TUSD BE'!$AL$31</f>
        <v>1616.1753664562782</v>
      </c>
      <c r="AP31" s="30">
        <f ca="1">+'TUSD BE'!$T$31+'TUSD BE'!$AB$31+'TUSD BE'!$AD$31+'TUSD BE'!$AL$31</f>
        <v>1616.1753664562782</v>
      </c>
    </row>
    <row r="32" spans="1:42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25">
        <f>'TUSD BE'!$L$32*'TUSD BF'!$L$58</f>
        <v>0</v>
      </c>
      <c r="M32" s="25">
        <f>'TUSD BE'!$M$32*'TUSD BF'!$M$58</f>
        <v>0</v>
      </c>
      <c r="N32" s="25">
        <f ca="1">'TUSD BE'!$N$32*'TUSD BF'!$N$58</f>
        <v>0</v>
      </c>
      <c r="O32" s="25">
        <f>'TUSD BE'!$O$32*'TUSD BF'!$O$58</f>
        <v>0</v>
      </c>
      <c r="P32" s="25">
        <f>'TUSD BE'!$P$32*'TUSD BF'!$P$58</f>
        <v>0</v>
      </c>
      <c r="Q32" s="25">
        <f>'TUSD BE'!$Q$32*'TUSD BF'!$Q$58</f>
        <v>0</v>
      </c>
      <c r="R32" s="25">
        <f>'TUSD BE'!$R$32*'TUSD BF'!$R$58</f>
        <v>0</v>
      </c>
      <c r="S32" s="25">
        <f>'TUSD BE'!$R$32*'TUSD BF'!$S$58</f>
        <v>0</v>
      </c>
      <c r="T32" s="25">
        <f ca="1">SUM($L$32:$S$32)</f>
        <v>0</v>
      </c>
      <c r="U32" s="25">
        <f>'TUSD BE'!$U$32*'TUSD BF'!$U$58</f>
        <v>0</v>
      </c>
      <c r="V32" s="25">
        <f>'TUSD BE'!$V$32*'TUSD BF'!$V$58</f>
        <v>0</v>
      </c>
      <c r="W32" s="25">
        <f>'TUSD BE'!$W$32*'TUSD BF'!$W$58</f>
        <v>0</v>
      </c>
      <c r="X32" s="25">
        <f>'TUSD BE'!$X$32*'TUSD BF'!$X$58</f>
        <v>0</v>
      </c>
      <c r="Y32" s="25">
        <f>'TUSD BE'!$Y$32*'TUSD BF'!$Y$58</f>
        <v>0</v>
      </c>
      <c r="Z32" s="25">
        <f>'TUSD BE'!$Z$32*'TUSD BF'!$Z$58</f>
        <v>0</v>
      </c>
      <c r="AA32" s="25">
        <f>'TUSD BE'!$AA$32*'TUSD BF'!$AA$58</f>
        <v>0</v>
      </c>
      <c r="AB32" s="25">
        <f>SUM($U$32:$AA$32)</f>
        <v>0</v>
      </c>
      <c r="AC32" s="25">
        <f>'TUSD BE'!$AC$32*'TUSD BF'!$AC$58</f>
        <v>0</v>
      </c>
      <c r="AD32" s="25">
        <f>SUM($AC$32:$AC$32)</f>
        <v>0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BF'!$AH$58</f>
        <v>0</v>
      </c>
      <c r="AI32" s="25">
        <f>'TUSD BE'!$AI$32*'TUSD BF'!$AI$58</f>
        <v>0</v>
      </c>
      <c r="AJ32" s="25">
        <f ca="1">'TUSD BE'!$AJ$32*'TUSD BF'!$AJ$58</f>
        <v>0</v>
      </c>
      <c r="AK32" s="25">
        <f ca="1">'TUSD BE'!$AK$32*'TUSD BF'!$AK$58</f>
        <v>0</v>
      </c>
      <c r="AL32" s="25">
        <f ca="1">SUM($AH$32:$AK$32)</f>
        <v>0</v>
      </c>
      <c r="AM32" s="25">
        <f ca="1">SUMIF($L$4:$AL$4,"SUBTOTAL",$L$32:$AL$32)</f>
        <v>0</v>
      </c>
      <c r="AO32" s="30">
        <f ca="1">+'TUSD BE'!$T$32+'TUSD BE'!$AB$32+'TUSD BE'!$AD$32+'TUSD BE'!$AL$32</f>
        <v>653.95783618211112</v>
      </c>
      <c r="AP32" s="30">
        <f ca="1">+'TUSD BE'!$T$32+'TUSD BE'!$AB$32+'TUSD BE'!$AD$32+'TUSD BE'!$AL$32</f>
        <v>653.95783618211112</v>
      </c>
    </row>
    <row r="33" spans="1:42" ht="11.25" customHeight="1" x14ac:dyDescent="0.3">
      <c r="A33" s="125"/>
      <c r="B33" s="28" t="s">
        <v>23</v>
      </c>
      <c r="C33" s="28" t="s">
        <v>41</v>
      </c>
      <c r="D33" s="28" t="s">
        <v>25</v>
      </c>
      <c r="E33" s="28" t="s">
        <v>25</v>
      </c>
      <c r="F33" s="28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25">
        <f>'TUSD BE'!$L$33*'TUSD BF'!$L$58</f>
        <v>0</v>
      </c>
      <c r="M33" s="25">
        <f>'TUSD BE'!$M$33*'TUSD BF'!$M$58</f>
        <v>0</v>
      </c>
      <c r="N33" s="25">
        <f ca="1">'TUSD BE'!$N$33*'TUSD BF'!$N$58</f>
        <v>0</v>
      </c>
      <c r="O33" s="25">
        <f>'TUSD BE'!$O$33*'TUSD BF'!$O$58</f>
        <v>0</v>
      </c>
      <c r="P33" s="25">
        <f>'TUSD BE'!$P$33*'TUSD BF'!$P$58</f>
        <v>0</v>
      </c>
      <c r="Q33" s="25">
        <f>'TUSD BE'!$Q$33*'TUSD BF'!$Q$58</f>
        <v>0</v>
      </c>
      <c r="R33" s="25">
        <f>'TUSD BE'!$R$33*'TUSD BF'!$R$58</f>
        <v>0</v>
      </c>
      <c r="S33" s="25">
        <f>'TUSD BE'!$R$33*'TUSD BF'!$S$58</f>
        <v>0</v>
      </c>
      <c r="T33" s="25">
        <f ca="1">SUM($L$33:$S$33)</f>
        <v>0</v>
      </c>
      <c r="U33" s="25">
        <f>'TUSD BE'!$U$33*'TUSD BF'!$U$58</f>
        <v>0</v>
      </c>
      <c r="V33" s="25">
        <f>'TUSD BE'!$V$33*'TUSD BF'!$V$58</f>
        <v>0</v>
      </c>
      <c r="W33" s="25">
        <f>'TUSD BE'!$W$33*'TUSD BF'!$W$58</f>
        <v>0</v>
      </c>
      <c r="X33" s="25">
        <f>'TUSD BE'!$X$33*'TUSD BF'!$X$58</f>
        <v>0</v>
      </c>
      <c r="Y33" s="25">
        <f>'TUSD BE'!$Y$33*'TUSD BF'!$Y$58</f>
        <v>0</v>
      </c>
      <c r="Z33" s="25">
        <f>'TUSD BE'!$Z$33*'TUSD BF'!$Z$58</f>
        <v>0</v>
      </c>
      <c r="AA33" s="25">
        <f>'TUSD BE'!$AA$33*'TUSD BF'!$AA$58</f>
        <v>0</v>
      </c>
      <c r="AB33" s="25">
        <f>SUM($U$33:$AA$33)</f>
        <v>0</v>
      </c>
      <c r="AC33" s="25">
        <f>'TUSD BE'!$AC$33*'TUSD BF'!$AC$58</f>
        <v>0</v>
      </c>
      <c r="AD33" s="25">
        <f>SUM($AC$33:$AC$33)</f>
        <v>0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BF'!$AH$58</f>
        <v>0</v>
      </c>
      <c r="AI33" s="25">
        <f>'TUSD BE'!$AI$33*'TUSD BF'!$AI$58</f>
        <v>0</v>
      </c>
      <c r="AJ33" s="25">
        <f ca="1">'TUSD BE'!$AJ$33*'TUSD BF'!$AJ$58</f>
        <v>0</v>
      </c>
      <c r="AK33" s="25">
        <f ca="1">'TUSD BE'!$AK$33*'TUSD BF'!$AK$58</f>
        <v>0</v>
      </c>
      <c r="AL33" s="25">
        <f ca="1">SUM($AH$33:$AK$33)</f>
        <v>0</v>
      </c>
      <c r="AM33" s="25">
        <f ca="1">SUMIF($L$4:$AL$4,"SUBTOTAL",$L$33:$AL$33)</f>
        <v>0</v>
      </c>
      <c r="AO33" s="30">
        <f ca="1">+'TUSD BE'!$T$33+'TUSD BE'!$AB$33+'TUSD BE'!$AD$33+'TUSD BE'!$AL$33</f>
        <v>974.69732838639129</v>
      </c>
      <c r="AP33" s="30">
        <f ca="1">+'TUSD BE'!$T$33+'TUSD BE'!$AB$33+'TUSD BE'!$AD$33+'TUSD BE'!$AL$33</f>
        <v>974.69732838639129</v>
      </c>
    </row>
    <row r="34" spans="1:42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25">
        <f>'TUSD BE'!$L$34*'TUSD BF'!$L$58</f>
        <v>0</v>
      </c>
      <c r="M34" s="25">
        <f>'TUSD BE'!$M$34*'TUSD BF'!$M$58</f>
        <v>0</v>
      </c>
      <c r="N34" s="25">
        <f ca="1">'TUSD BE'!$N$34*'TUSD BF'!$N$58</f>
        <v>0</v>
      </c>
      <c r="O34" s="25">
        <f>'TUSD BE'!$O$34*'TUSD BF'!$O$58</f>
        <v>0</v>
      </c>
      <c r="P34" s="25">
        <f>'TUSD BE'!$P$34*'TUSD BF'!$P$58</f>
        <v>0</v>
      </c>
      <c r="Q34" s="25">
        <f>'TUSD BE'!$Q$34*'TUSD BF'!$Q$58</f>
        <v>0</v>
      </c>
      <c r="R34" s="25">
        <f>'TUSD BE'!$R$34*'TUSD BF'!$R$58</f>
        <v>0</v>
      </c>
      <c r="S34" s="25">
        <f>'TUSD BE'!$R$34*'TUSD BF'!$S$58</f>
        <v>0</v>
      </c>
      <c r="T34" s="25">
        <f ca="1">SUM($L$34:$S$34)</f>
        <v>0</v>
      </c>
      <c r="U34" s="25">
        <f>'TUSD BE'!$U$34*'TUSD BF'!$U$58</f>
        <v>0</v>
      </c>
      <c r="V34" s="25">
        <f>'TUSD BE'!$V$34*'TUSD BF'!$V$58</f>
        <v>0</v>
      </c>
      <c r="W34" s="25">
        <f>'TUSD BE'!$W$34*'TUSD BF'!$W$58</f>
        <v>0</v>
      </c>
      <c r="X34" s="25">
        <f>'TUSD BE'!$X$34*'TUSD BF'!$X$58</f>
        <v>0</v>
      </c>
      <c r="Y34" s="25">
        <f>'TUSD BE'!$Y$34*'TUSD BF'!$Y$58</f>
        <v>0</v>
      </c>
      <c r="Z34" s="25">
        <f>'TUSD BE'!$Z$34*'TUSD BF'!$Z$58</f>
        <v>0</v>
      </c>
      <c r="AA34" s="25">
        <f>'TUSD BE'!$AA$34*'TUSD BF'!$AA$58</f>
        <v>0</v>
      </c>
      <c r="AB34" s="25">
        <f>SUM($U$34:$AA$34)</f>
        <v>0</v>
      </c>
      <c r="AC34" s="25">
        <f>'TUSD BE'!$AC$34*'TUSD BF'!$AC$58</f>
        <v>0</v>
      </c>
      <c r="AD34" s="25">
        <f>SUM($AC$34:$AC$34)</f>
        <v>0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BF'!$AH$58</f>
        <v>0</v>
      </c>
      <c r="AI34" s="25">
        <f>'TUSD BE'!$AI$34*'TUSD BF'!$AI$58</f>
        <v>0</v>
      </c>
      <c r="AJ34" s="25">
        <f ca="1">'TUSD BE'!$AJ$34*'TUSD BF'!$AJ$58</f>
        <v>0</v>
      </c>
      <c r="AK34" s="25">
        <f ca="1">'TUSD BE'!$AK$34*'TUSD BF'!$AK$58</f>
        <v>0</v>
      </c>
      <c r="AL34" s="25">
        <f ca="1">SUM($AH$34:$AK$34)</f>
        <v>0</v>
      </c>
      <c r="AM34" s="25">
        <f ca="1">SUMIF($L$4:$AL$4,"SUBTOTAL",$L$34:$AL$34)</f>
        <v>0</v>
      </c>
      <c r="AO34" s="30">
        <f ca="1">+'TUSD BE'!$T$34+'TUSD BE'!$AB$34+'TUSD BE'!$AD$34+'TUSD BE'!$AL$34</f>
        <v>2578.3971762037763</v>
      </c>
      <c r="AP34" s="30">
        <f ca="1">+'TUSD BE'!$T$34+'TUSD BE'!$AB$34+'TUSD BE'!$AD$34+'TUSD BE'!$AL$34</f>
        <v>2578.3971762037763</v>
      </c>
    </row>
    <row r="35" spans="1:42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25">
        <f>'TUSD BE'!$L$35*'TUSD BF'!$L$58</f>
        <v>0</v>
      </c>
      <c r="M35" s="25">
        <f>'TUSD BE'!$M$35*'TUSD BF'!$M$58</f>
        <v>0</v>
      </c>
      <c r="N35" s="25">
        <f ca="1">'TUSD BE'!$N$35*'TUSD BF'!$N$58</f>
        <v>0</v>
      </c>
      <c r="O35" s="25">
        <f>'TUSD BE'!$O$35*'TUSD BF'!$O$58</f>
        <v>0</v>
      </c>
      <c r="P35" s="25">
        <f>'TUSD BE'!$P$35*'TUSD BF'!$P$58</f>
        <v>0</v>
      </c>
      <c r="Q35" s="25">
        <f>'TUSD BE'!$Q$35*'TUSD BF'!$Q$58</f>
        <v>0</v>
      </c>
      <c r="R35" s="25">
        <f>'TUSD BE'!$R$35*'TUSD BF'!$R$58</f>
        <v>0</v>
      </c>
      <c r="S35" s="25">
        <f>'TUSD BE'!$R$35*'TUSD BF'!$S$58</f>
        <v>0</v>
      </c>
      <c r="T35" s="25">
        <f ca="1">SUM($L$35:$S$35)</f>
        <v>0</v>
      </c>
      <c r="U35" s="25">
        <f>'TUSD BE'!$U$35*'TUSD BF'!$U$58</f>
        <v>0</v>
      </c>
      <c r="V35" s="25">
        <f>'TUSD BE'!$V$35*'TUSD BF'!$V$58</f>
        <v>0</v>
      </c>
      <c r="W35" s="25">
        <f>'TUSD BE'!$W$35*'TUSD BF'!$W$58</f>
        <v>0</v>
      </c>
      <c r="X35" s="25">
        <f>'TUSD BE'!$X$35*'TUSD BF'!$X$58</f>
        <v>0</v>
      </c>
      <c r="Y35" s="25">
        <f>'TUSD BE'!$Y$35*'TUSD BF'!$Y$58</f>
        <v>0</v>
      </c>
      <c r="Z35" s="25">
        <f>'TUSD BE'!$Z$35*'TUSD BF'!$Z$58</f>
        <v>0</v>
      </c>
      <c r="AA35" s="25">
        <f>'TUSD BE'!$AA$35*'TUSD BF'!$AA$58</f>
        <v>0</v>
      </c>
      <c r="AB35" s="25">
        <f>SUM($U$35:$AA$35)</f>
        <v>0</v>
      </c>
      <c r="AC35" s="25">
        <f>'TUSD BE'!$AC$35*'TUSD BF'!$AC$58</f>
        <v>0</v>
      </c>
      <c r="AD35" s="25">
        <f>SUM($AC$35:$AC$35)</f>
        <v>0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BF'!$AH$58</f>
        <v>0</v>
      </c>
      <c r="AI35" s="25">
        <f>'TUSD BE'!$AI$35*'TUSD BF'!$AI$58</f>
        <v>0</v>
      </c>
      <c r="AJ35" s="25">
        <f ca="1">'TUSD BE'!$AJ$35*'TUSD BF'!$AJ$58</f>
        <v>0</v>
      </c>
      <c r="AK35" s="25">
        <f ca="1">'TUSD BE'!$AK$35*'TUSD BF'!$AK$58</f>
        <v>0</v>
      </c>
      <c r="AL35" s="25">
        <f ca="1">SUM($AH$35:$AK$35)</f>
        <v>0</v>
      </c>
      <c r="AM35" s="25">
        <f ca="1">SUMIF($L$4:$AL$4,"SUBTOTAL",$L$35:$AL$35)</f>
        <v>0</v>
      </c>
      <c r="AO35" s="30">
        <f ca="1">+'TUSD BE'!$T$35+'TUSD BE'!$AB$35+'TUSD BE'!$AD$35+'TUSD BE'!$AL$35</f>
        <v>1616.1753664562782</v>
      </c>
      <c r="AP35" s="30">
        <f ca="1">+'TUSD BE'!$T$35+'TUSD BE'!$AB$35+'TUSD BE'!$AD$35+'TUSD BE'!$AL$35</f>
        <v>1616.1753664562782</v>
      </c>
    </row>
    <row r="36" spans="1:42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25">
        <f>'TUSD BE'!$L$36*'TUSD BF'!$L$58</f>
        <v>0</v>
      </c>
      <c r="M36" s="25">
        <f>'TUSD BE'!$M$36*'TUSD BF'!$M$58</f>
        <v>0</v>
      </c>
      <c r="N36" s="25">
        <f ca="1">'TUSD BE'!$N$36*'TUSD BF'!$N$58</f>
        <v>0</v>
      </c>
      <c r="O36" s="25">
        <f>'TUSD BE'!$O$36*'TUSD BF'!$O$58</f>
        <v>0</v>
      </c>
      <c r="P36" s="25">
        <f>'TUSD BE'!$P$36*'TUSD BF'!$P$58</f>
        <v>0</v>
      </c>
      <c r="Q36" s="25">
        <f>'TUSD BE'!$Q$36*'TUSD BF'!$Q$58</f>
        <v>0</v>
      </c>
      <c r="R36" s="25">
        <f>'TUSD BE'!$R$36*'TUSD BF'!$R$58</f>
        <v>0</v>
      </c>
      <c r="S36" s="25">
        <f>'TUSD BE'!$R$36*'TUSD BF'!$S$58</f>
        <v>0</v>
      </c>
      <c r="T36" s="25">
        <f ca="1">SUM($L$36:$S$36)</f>
        <v>0</v>
      </c>
      <c r="U36" s="25">
        <f>'TUSD BE'!$U$36*'TUSD BF'!$U$58</f>
        <v>0</v>
      </c>
      <c r="V36" s="25">
        <f>'TUSD BE'!$V$36*'TUSD BF'!$V$58</f>
        <v>0</v>
      </c>
      <c r="W36" s="25">
        <f>'TUSD BE'!$W$36*'TUSD BF'!$W$58</f>
        <v>0</v>
      </c>
      <c r="X36" s="25">
        <f>'TUSD BE'!$X$36*'TUSD BF'!$X$58</f>
        <v>0</v>
      </c>
      <c r="Y36" s="25">
        <f>'TUSD BE'!$Y$36*'TUSD BF'!$Y$58</f>
        <v>0</v>
      </c>
      <c r="Z36" s="25">
        <f>'TUSD BE'!$Z$36*'TUSD BF'!$Z$58</f>
        <v>0</v>
      </c>
      <c r="AA36" s="25">
        <f>'TUSD BE'!$AA$36*'TUSD BF'!$AA$58</f>
        <v>0</v>
      </c>
      <c r="AB36" s="25">
        <f>SUM($U$36:$AA$36)</f>
        <v>0</v>
      </c>
      <c r="AC36" s="25">
        <f>'TUSD BE'!$AC$36*'TUSD BF'!$AC$58</f>
        <v>0</v>
      </c>
      <c r="AD36" s="25">
        <f>SUM($AC$36:$AC$36)</f>
        <v>0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BF'!$AH$58</f>
        <v>0</v>
      </c>
      <c r="AI36" s="25">
        <f>'TUSD BE'!$AI$36*'TUSD BF'!$AI$58</f>
        <v>0</v>
      </c>
      <c r="AJ36" s="25">
        <f ca="1">'TUSD BE'!$AJ$36*'TUSD BF'!$AJ$58</f>
        <v>0</v>
      </c>
      <c r="AK36" s="25">
        <f ca="1">'TUSD BE'!$AK$36*'TUSD BF'!$AK$58</f>
        <v>0</v>
      </c>
      <c r="AL36" s="25">
        <f ca="1">SUM($AH$36:$AK$36)</f>
        <v>0</v>
      </c>
      <c r="AM36" s="25">
        <f ca="1">SUMIF($L$4:$AL$4,"SUBTOTAL",$L$36:$AL$36)</f>
        <v>0</v>
      </c>
      <c r="AO36" s="30">
        <f ca="1">+'TUSD BE'!$T$36+'TUSD BE'!$AB$36+'TUSD BE'!$AD$36+'TUSD BE'!$AL$36</f>
        <v>653.95783618211112</v>
      </c>
      <c r="AP36" s="30">
        <f ca="1">+'TUSD BE'!$T$36+'TUSD BE'!$AB$36+'TUSD BE'!$AD$36+'TUSD BE'!$AL$36</f>
        <v>653.95783618211112</v>
      </c>
    </row>
    <row r="37" spans="1:42" ht="11.25" customHeight="1" x14ac:dyDescent="0.3">
      <c r="A37" s="125"/>
      <c r="B37" s="28" t="s">
        <v>23</v>
      </c>
      <c r="C37" s="28" t="s">
        <v>41</v>
      </c>
      <c r="D37" s="28" t="s">
        <v>85</v>
      </c>
      <c r="E37" s="28" t="s">
        <v>25</v>
      </c>
      <c r="F37" s="28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25">
        <f>'TUSD BE'!$L$37*'TUSD BF'!$L$58</f>
        <v>0</v>
      </c>
      <c r="M37" s="25">
        <f>'TUSD BE'!$M$37*'TUSD BF'!$M$58</f>
        <v>0</v>
      </c>
      <c r="N37" s="25">
        <f ca="1">'TUSD BE'!$N$37*'TUSD BF'!$N$58</f>
        <v>0</v>
      </c>
      <c r="O37" s="25">
        <f>'TUSD BE'!$O$37*'TUSD BF'!$O$58</f>
        <v>0</v>
      </c>
      <c r="P37" s="25">
        <f>'TUSD BE'!$P$37*'TUSD BF'!$P$58</f>
        <v>0</v>
      </c>
      <c r="Q37" s="25">
        <f>'TUSD BE'!$Q$37*'TUSD BF'!$Q$58</f>
        <v>0</v>
      </c>
      <c r="R37" s="25">
        <f>'TUSD BE'!$R$37*'TUSD BF'!$R$58</f>
        <v>0</v>
      </c>
      <c r="S37" s="25">
        <f>'TUSD BE'!$R$37*'TUSD BF'!$S$58</f>
        <v>0</v>
      </c>
      <c r="T37" s="25">
        <f ca="1">SUM($L$37:$S$37)</f>
        <v>0</v>
      </c>
      <c r="U37" s="25">
        <f>'TUSD BE'!$U$37*'TUSD BF'!$U$58</f>
        <v>0</v>
      </c>
      <c r="V37" s="25">
        <f>'TUSD BE'!$V$37*'TUSD BF'!$V$58</f>
        <v>0</v>
      </c>
      <c r="W37" s="25">
        <f>'TUSD BE'!$W$37*'TUSD BF'!$W$58</f>
        <v>0</v>
      </c>
      <c r="X37" s="25">
        <f>'TUSD BE'!$X$37*'TUSD BF'!$X$58</f>
        <v>0</v>
      </c>
      <c r="Y37" s="25">
        <f>'TUSD BE'!$Y$37*'TUSD BF'!$Y$58</f>
        <v>0</v>
      </c>
      <c r="Z37" s="25">
        <f>'TUSD BE'!$Z$37*'TUSD BF'!$Z$58</f>
        <v>0</v>
      </c>
      <c r="AA37" s="25">
        <f>'TUSD BE'!$AA$37*'TUSD BF'!$AA$58</f>
        <v>0</v>
      </c>
      <c r="AB37" s="25">
        <f>SUM($U$37:$AA$37)</f>
        <v>0</v>
      </c>
      <c r="AC37" s="25">
        <f>'TUSD BE'!$AC$37*'TUSD BF'!$AC$58</f>
        <v>0</v>
      </c>
      <c r="AD37" s="25">
        <f>SUM($AC$37:$AC$37)</f>
        <v>0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BF'!$AH$58</f>
        <v>0</v>
      </c>
      <c r="AI37" s="25">
        <f>'TUSD BE'!$AI$37*'TUSD BF'!$AI$58</f>
        <v>0</v>
      </c>
      <c r="AJ37" s="25">
        <f ca="1">'TUSD BE'!$AJ$37*'TUSD BF'!$AJ$58</f>
        <v>0</v>
      </c>
      <c r="AK37" s="25">
        <f ca="1">'TUSD BE'!$AK$37*'TUSD BF'!$AK$58</f>
        <v>0</v>
      </c>
      <c r="AL37" s="25">
        <f ca="1">SUM($AH$37:$AK$37)</f>
        <v>0</v>
      </c>
      <c r="AM37" s="25">
        <f ca="1">SUMIF($L$4:$AL$4,"SUBTOTAL",$L$37:$AL$37)</f>
        <v>0</v>
      </c>
      <c r="AO37" s="30">
        <f ca="1">+'TUSD BE'!$T$37+'TUSD BE'!$AB$37+'TUSD BE'!$AD$37+'TUSD BE'!$AL$37</f>
        <v>974.69732838639129</v>
      </c>
      <c r="AP37" s="30">
        <f ca="1">+'TUSD BE'!$T$37+'TUSD BE'!$AB$37+'TUSD BE'!$AD$37+'TUSD BE'!$AL$37</f>
        <v>974.69732838639129</v>
      </c>
    </row>
    <row r="38" spans="1:42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25">
        <f>'TUSD BE'!$L$38*'TUSD BF'!$L$58</f>
        <v>0</v>
      </c>
      <c r="M38" s="25">
        <f>'TUSD BE'!$M$38*'TUSD BF'!$M$58</f>
        <v>0</v>
      </c>
      <c r="N38" s="25">
        <f ca="1">'TUSD BE'!$N$38*'TUSD BF'!$N$58</f>
        <v>0</v>
      </c>
      <c r="O38" s="25">
        <f>'TUSD BE'!$O$38*'TUSD BF'!$O$58</f>
        <v>0</v>
      </c>
      <c r="P38" s="25">
        <f>'TUSD BE'!$P$38*'TUSD BF'!$P$58</f>
        <v>0</v>
      </c>
      <c r="Q38" s="25">
        <f>'TUSD BE'!$Q$38*'TUSD BF'!$Q$58</f>
        <v>0</v>
      </c>
      <c r="R38" s="25">
        <f>'TUSD BE'!$R$38*'TUSD BF'!$R$58</f>
        <v>0</v>
      </c>
      <c r="S38" s="25">
        <f>'TUSD BE'!$R$38*'TUSD BF'!$S$58</f>
        <v>0</v>
      </c>
      <c r="T38" s="25">
        <f ca="1">SUM($L$38:$S$38)</f>
        <v>0</v>
      </c>
      <c r="U38" s="25">
        <f>'TUSD BE'!$U$38*'TUSD BF'!$U$58</f>
        <v>0</v>
      </c>
      <c r="V38" s="25">
        <f>'TUSD BE'!$V$38*'TUSD BF'!$V$58</f>
        <v>0</v>
      </c>
      <c r="W38" s="25">
        <f>'TUSD BE'!$W$38*'TUSD BF'!$W$58</f>
        <v>0</v>
      </c>
      <c r="X38" s="25">
        <f>'TUSD BE'!$X$38*'TUSD BF'!$X$58</f>
        <v>0</v>
      </c>
      <c r="Y38" s="25">
        <f>'TUSD BE'!$Y$38*'TUSD BF'!$Y$58</f>
        <v>0</v>
      </c>
      <c r="Z38" s="25">
        <f>'TUSD BE'!$Z$38*'TUSD BF'!$Z$58</f>
        <v>0</v>
      </c>
      <c r="AA38" s="25">
        <f>'TUSD BE'!$AA$38*'TUSD BF'!$AA$58</f>
        <v>0</v>
      </c>
      <c r="AB38" s="25">
        <f>SUM($U$38:$AA$38)</f>
        <v>0</v>
      </c>
      <c r="AC38" s="25">
        <f>'TUSD BE'!$AC$38*'TUSD BF'!$AC$58</f>
        <v>0</v>
      </c>
      <c r="AD38" s="25">
        <f>SUM($AC$38:$AC$38)</f>
        <v>0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BF'!$AH$58</f>
        <v>0</v>
      </c>
      <c r="AI38" s="25">
        <f>'TUSD BE'!$AI$38*'TUSD BF'!$AI$58</f>
        <v>0</v>
      </c>
      <c r="AJ38" s="25">
        <f ca="1">'TUSD BE'!$AJ$38*'TUSD BF'!$AJ$58</f>
        <v>0</v>
      </c>
      <c r="AK38" s="25">
        <f ca="1">'TUSD BE'!$AK$38*'TUSD BF'!$AK$58</f>
        <v>0</v>
      </c>
      <c r="AL38" s="25">
        <f ca="1">SUM($AH$38:$AK$38)</f>
        <v>0</v>
      </c>
      <c r="AM38" s="25">
        <f ca="1">SUMIF($L$4:$AL$4,"SUBTOTAL",$L$38:$AL$38)</f>
        <v>0</v>
      </c>
      <c r="AO38" s="30">
        <f ca="1">+'TUSD BE'!$T$38+'TUSD BE'!$AB$38+'TUSD BE'!$AD$38+'TUSD BE'!$AL$38</f>
        <v>2578.3971762037763</v>
      </c>
      <c r="AP38" s="30">
        <f ca="1">+'TUSD BE'!$T$38+'TUSD BE'!$AB$38+'TUSD BE'!$AD$38+'TUSD BE'!$AL$38</f>
        <v>2578.3971762037763</v>
      </c>
    </row>
    <row r="39" spans="1:42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25">
        <f>'TUSD BE'!$L$39*'TUSD BF'!$L$58</f>
        <v>0</v>
      </c>
      <c r="M39" s="25">
        <f>'TUSD BE'!$M$39*'TUSD BF'!$M$58</f>
        <v>0</v>
      </c>
      <c r="N39" s="25">
        <f ca="1">'TUSD BE'!$N$39*'TUSD BF'!$N$58</f>
        <v>0</v>
      </c>
      <c r="O39" s="25">
        <f>'TUSD BE'!$O$39*'TUSD BF'!$O$58</f>
        <v>0</v>
      </c>
      <c r="P39" s="25">
        <f>'TUSD BE'!$P$39*'TUSD BF'!$P$58</f>
        <v>0</v>
      </c>
      <c r="Q39" s="25">
        <f>'TUSD BE'!$Q$39*'TUSD BF'!$Q$58</f>
        <v>0</v>
      </c>
      <c r="R39" s="25">
        <f>'TUSD BE'!$R$39*'TUSD BF'!$R$58</f>
        <v>0</v>
      </c>
      <c r="S39" s="25">
        <f>'TUSD BE'!$R$39*'TUSD BF'!$S$58</f>
        <v>0</v>
      </c>
      <c r="T39" s="25">
        <f ca="1">SUM($L$39:$S$39)</f>
        <v>0</v>
      </c>
      <c r="U39" s="25">
        <f>'TUSD BE'!$U$39*'TUSD BF'!$U$58</f>
        <v>0</v>
      </c>
      <c r="V39" s="25">
        <f>'TUSD BE'!$V$39*'TUSD BF'!$V$58</f>
        <v>0</v>
      </c>
      <c r="W39" s="25">
        <f>'TUSD BE'!$W$39*'TUSD BF'!$W$58</f>
        <v>0</v>
      </c>
      <c r="X39" s="25">
        <f>'TUSD BE'!$X$39*'TUSD BF'!$X$58</f>
        <v>0</v>
      </c>
      <c r="Y39" s="25">
        <f>'TUSD BE'!$Y$39*'TUSD BF'!$Y$58</f>
        <v>0</v>
      </c>
      <c r="Z39" s="25">
        <f>'TUSD BE'!$Z$39*'TUSD BF'!$Z$58</f>
        <v>0</v>
      </c>
      <c r="AA39" s="25">
        <f>'TUSD BE'!$AA$39*'TUSD BF'!$AA$58</f>
        <v>0</v>
      </c>
      <c r="AB39" s="25">
        <f>SUM($U$39:$AA$39)</f>
        <v>0</v>
      </c>
      <c r="AC39" s="25">
        <f>'TUSD BE'!$AC$39*'TUSD BF'!$AC$58</f>
        <v>0</v>
      </c>
      <c r="AD39" s="25">
        <f>SUM($AC$39:$AC$39)</f>
        <v>0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BF'!$AH$58</f>
        <v>0</v>
      </c>
      <c r="AI39" s="25">
        <f>'TUSD BE'!$AI$39*'TUSD BF'!$AI$58</f>
        <v>0</v>
      </c>
      <c r="AJ39" s="25">
        <f ca="1">'TUSD BE'!$AJ$39*'TUSD BF'!$AJ$58</f>
        <v>0</v>
      </c>
      <c r="AK39" s="25">
        <f ca="1">'TUSD BE'!$AK$39*'TUSD BF'!$AK$58</f>
        <v>0</v>
      </c>
      <c r="AL39" s="25">
        <f ca="1">SUM($AH$39:$AK$39)</f>
        <v>0</v>
      </c>
      <c r="AM39" s="25">
        <f ca="1">SUMIF($L$4:$AL$4,"SUBTOTAL",$L$39:$AL$39)</f>
        <v>0</v>
      </c>
      <c r="AO39" s="30">
        <f ca="1">+'TUSD BE'!$T$39+'TUSD BE'!$AB$39+'TUSD BE'!$AD$39+'TUSD BE'!$AL$39</f>
        <v>1616.1753664562782</v>
      </c>
      <c r="AP39" s="30">
        <f ca="1">+'TUSD BE'!$T$39+'TUSD BE'!$AB$39+'TUSD BE'!$AD$39+'TUSD BE'!$AL$39</f>
        <v>1616.1753664562782</v>
      </c>
    </row>
    <row r="40" spans="1:42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25">
        <f>'TUSD BE'!$L$40*'TUSD BF'!$L$58</f>
        <v>0</v>
      </c>
      <c r="M40" s="25">
        <f>'TUSD BE'!$M$40*'TUSD BF'!$M$58</f>
        <v>0</v>
      </c>
      <c r="N40" s="25">
        <f ca="1">'TUSD BE'!$N$40*'TUSD BF'!$N$58</f>
        <v>0</v>
      </c>
      <c r="O40" s="25">
        <f>'TUSD BE'!$O$40*'TUSD BF'!$O$58</f>
        <v>0</v>
      </c>
      <c r="P40" s="25">
        <f>'TUSD BE'!$P$40*'TUSD BF'!$P$58</f>
        <v>0</v>
      </c>
      <c r="Q40" s="25">
        <f>'TUSD BE'!$Q$40*'TUSD BF'!$Q$58</f>
        <v>0</v>
      </c>
      <c r="R40" s="25">
        <f>'TUSD BE'!$R$40*'TUSD BF'!$R$58</f>
        <v>0</v>
      </c>
      <c r="S40" s="25">
        <f>'TUSD BE'!$R$40*'TUSD BF'!$S$58</f>
        <v>0</v>
      </c>
      <c r="T40" s="25">
        <f ca="1">SUM($L$40:$S$40)</f>
        <v>0</v>
      </c>
      <c r="U40" s="25">
        <f>'TUSD BE'!$U$40*'TUSD BF'!$U$58</f>
        <v>0</v>
      </c>
      <c r="V40" s="25">
        <f>'TUSD BE'!$V$40*'TUSD BF'!$V$58</f>
        <v>0</v>
      </c>
      <c r="W40" s="25">
        <f>'TUSD BE'!$W$40*'TUSD BF'!$W$58</f>
        <v>0</v>
      </c>
      <c r="X40" s="25">
        <f>'TUSD BE'!$X$40*'TUSD BF'!$X$58</f>
        <v>0</v>
      </c>
      <c r="Y40" s="25">
        <f>'TUSD BE'!$Y$40*'TUSD BF'!$Y$58</f>
        <v>0</v>
      </c>
      <c r="Z40" s="25">
        <f>'TUSD BE'!$Z$40*'TUSD BF'!$Z$58</f>
        <v>0</v>
      </c>
      <c r="AA40" s="25">
        <f>'TUSD BE'!$AA$40*'TUSD BF'!$AA$58</f>
        <v>0</v>
      </c>
      <c r="AB40" s="25">
        <f>SUM($U$40:$AA$40)</f>
        <v>0</v>
      </c>
      <c r="AC40" s="25">
        <f>'TUSD BE'!$AC$40*'TUSD BF'!$AC$58</f>
        <v>0</v>
      </c>
      <c r="AD40" s="25">
        <f>SUM($AC$40:$AC$40)</f>
        <v>0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BF'!$AH$58</f>
        <v>0</v>
      </c>
      <c r="AI40" s="25">
        <f>'TUSD BE'!$AI$40*'TUSD BF'!$AI$58</f>
        <v>0</v>
      </c>
      <c r="AJ40" s="25">
        <f ca="1">'TUSD BE'!$AJ$40*'TUSD BF'!$AJ$58</f>
        <v>0</v>
      </c>
      <c r="AK40" s="25">
        <f ca="1">'TUSD BE'!$AK$40*'TUSD BF'!$AK$58</f>
        <v>0</v>
      </c>
      <c r="AL40" s="25">
        <f ca="1">SUM($AH$40:$AK$40)</f>
        <v>0</v>
      </c>
      <c r="AM40" s="25">
        <f ca="1">SUMIF($L$4:$AL$4,"SUBTOTAL",$L$40:$AL$40)</f>
        <v>0</v>
      </c>
      <c r="AO40" s="30">
        <f ca="1">+'TUSD BE'!$T$40+'TUSD BE'!$AB$40+'TUSD BE'!$AD$40+'TUSD BE'!$AL$40</f>
        <v>653.95783618211112</v>
      </c>
      <c r="AP40" s="30">
        <f ca="1">+'TUSD BE'!$T$40+'TUSD BE'!$AB$40+'TUSD BE'!$AD$40+'TUSD BE'!$AL$40</f>
        <v>653.95783618211112</v>
      </c>
    </row>
    <row r="41" spans="1:42" ht="11.25" customHeight="1" x14ac:dyDescent="0.3">
      <c r="A41" s="125"/>
      <c r="B41" s="28" t="s">
        <v>23</v>
      </c>
      <c r="C41" s="28" t="s">
        <v>41</v>
      </c>
      <c r="D41" s="28" t="s">
        <v>86</v>
      </c>
      <c r="E41" s="28" t="s">
        <v>25</v>
      </c>
      <c r="F41" s="28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25">
        <f>'TUSD BE'!$L$41*'TUSD BF'!$L$58</f>
        <v>0</v>
      </c>
      <c r="M41" s="25">
        <f>'TUSD BE'!$M$41*'TUSD BF'!$M$58</f>
        <v>0</v>
      </c>
      <c r="N41" s="25">
        <f ca="1">'TUSD BE'!$N$41*'TUSD BF'!$N$58</f>
        <v>0</v>
      </c>
      <c r="O41" s="25">
        <f>'TUSD BE'!$O$41*'TUSD BF'!$O$58</f>
        <v>0</v>
      </c>
      <c r="P41" s="25">
        <f>'TUSD BE'!$P$41*'TUSD BF'!$P$58</f>
        <v>0</v>
      </c>
      <c r="Q41" s="25">
        <f>'TUSD BE'!$Q$41*'TUSD BF'!$Q$58</f>
        <v>0</v>
      </c>
      <c r="R41" s="25">
        <f>'TUSD BE'!$R$41*'TUSD BF'!$R$58</f>
        <v>0</v>
      </c>
      <c r="S41" s="25">
        <f>'TUSD BE'!$R$41*'TUSD BF'!$S$58</f>
        <v>0</v>
      </c>
      <c r="T41" s="25">
        <f ca="1">SUM($L$41:$S$41)</f>
        <v>0</v>
      </c>
      <c r="U41" s="25">
        <f>'TUSD BE'!$U$41*'TUSD BF'!$U$58</f>
        <v>0</v>
      </c>
      <c r="V41" s="25">
        <f>'TUSD BE'!$V$41*'TUSD BF'!$V$58</f>
        <v>0</v>
      </c>
      <c r="W41" s="25">
        <f>'TUSD BE'!$W$41*'TUSD BF'!$W$58</f>
        <v>0</v>
      </c>
      <c r="X41" s="25">
        <f>'TUSD BE'!$X$41*'TUSD BF'!$X$58</f>
        <v>0</v>
      </c>
      <c r="Y41" s="25">
        <f>'TUSD BE'!$Y$41*'TUSD BF'!$Y$58</f>
        <v>0</v>
      </c>
      <c r="Z41" s="25">
        <f>'TUSD BE'!$Z$41*'TUSD BF'!$Z$58</f>
        <v>0</v>
      </c>
      <c r="AA41" s="25">
        <f>'TUSD BE'!$AA$41*'TUSD BF'!$AA$58</f>
        <v>0</v>
      </c>
      <c r="AB41" s="25">
        <f>SUM($U$41:$AA$41)</f>
        <v>0</v>
      </c>
      <c r="AC41" s="25">
        <f>'TUSD BE'!$AC$41*'TUSD BF'!$AC$58</f>
        <v>0</v>
      </c>
      <c r="AD41" s="25">
        <f>SUM($AC$41:$AC$41)</f>
        <v>0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BF'!$AH$58</f>
        <v>0</v>
      </c>
      <c r="AI41" s="25">
        <f>'TUSD BE'!$AI$41*'TUSD BF'!$AI$58</f>
        <v>0</v>
      </c>
      <c r="AJ41" s="25">
        <f ca="1">'TUSD BE'!$AJ$41*'TUSD BF'!$AJ$58</f>
        <v>0</v>
      </c>
      <c r="AK41" s="25">
        <f ca="1">'TUSD BE'!$AK$41*'TUSD BF'!$AK$58</f>
        <v>0</v>
      </c>
      <c r="AL41" s="25">
        <f ca="1">SUM($AH$41:$AK$41)</f>
        <v>0</v>
      </c>
      <c r="AM41" s="25">
        <f ca="1">SUMIF($L$4:$AL$4,"SUBTOTAL",$L$41:$AL$41)</f>
        <v>0</v>
      </c>
      <c r="AO41" s="30">
        <f ca="1">+'TUSD BE'!$T$41+'TUSD BE'!$AB$41+'TUSD BE'!$AD$41+'TUSD BE'!$AL$41</f>
        <v>974.69732838639129</v>
      </c>
      <c r="AP41" s="30">
        <f ca="1">+'TUSD BE'!$T$41+'TUSD BE'!$AB$41+'TUSD BE'!$AD$41+'TUSD BE'!$AL$41</f>
        <v>974.69732838639129</v>
      </c>
    </row>
    <row r="42" spans="1:42" ht="11.25" customHeight="1" x14ac:dyDescent="0.3">
      <c r="A42" s="125"/>
      <c r="B42" s="125" t="s">
        <v>84</v>
      </c>
      <c r="C42" s="125" t="s">
        <v>41</v>
      </c>
      <c r="D42" s="28" t="s">
        <v>25</v>
      </c>
      <c r="E42" s="28" t="s">
        <v>25</v>
      </c>
      <c r="F42" s="28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25">
        <f>'TUSD BE'!$L$42*'TUSD BF'!$L$58</f>
        <v>0</v>
      </c>
      <c r="M42" s="25">
        <f>'TUSD BE'!$M$42*'TUSD BF'!$M$58</f>
        <v>0</v>
      </c>
      <c r="N42" s="25">
        <f ca="1">'TUSD BE'!$N$42*'TUSD BF'!$N$58</f>
        <v>0</v>
      </c>
      <c r="O42" s="25">
        <f>'TUSD BE'!$O$42*'TUSD BF'!$O$58</f>
        <v>0</v>
      </c>
      <c r="P42" s="25">
        <f>'TUSD BE'!$P$42*'TUSD BF'!$P$58</f>
        <v>0</v>
      </c>
      <c r="Q42" s="25">
        <f>'TUSD BE'!$Q$42*'TUSD BF'!$Q$58</f>
        <v>0</v>
      </c>
      <c r="R42" s="25">
        <f>'TUSD BE'!$R$42*'TUSD BF'!$R$58</f>
        <v>0</v>
      </c>
      <c r="S42" s="25">
        <f>'TUSD BE'!$R$42*'TUSD BF'!$S$58</f>
        <v>0</v>
      </c>
      <c r="T42" s="25">
        <f ca="1">SUM($L$42:$S$42)</f>
        <v>0</v>
      </c>
      <c r="U42" s="25">
        <f>'TUSD BE'!$U$42*'TUSD BF'!$U$58</f>
        <v>0</v>
      </c>
      <c r="V42" s="25">
        <f>'TUSD BE'!$V$42*'TUSD BF'!$V$58</f>
        <v>0</v>
      </c>
      <c r="W42" s="25">
        <f>'TUSD BE'!$W$42*'TUSD BF'!$W$58</f>
        <v>0</v>
      </c>
      <c r="X42" s="25">
        <f>'TUSD BE'!$X$42*'TUSD BF'!$X$58</f>
        <v>0</v>
      </c>
      <c r="Y42" s="25">
        <f>'TUSD BE'!$Y$42*'TUSD BF'!$Y$58</f>
        <v>0</v>
      </c>
      <c r="Z42" s="25">
        <f>'TUSD BE'!$Z$42*'TUSD BF'!$Z$58</f>
        <v>0</v>
      </c>
      <c r="AA42" s="25">
        <f>'TUSD BE'!$AA$42*'TUSD BF'!$AA$58</f>
        <v>0</v>
      </c>
      <c r="AB42" s="25">
        <f>SUM($U$42:$AA$42)</f>
        <v>0</v>
      </c>
      <c r="AC42" s="25">
        <f>'TUSD BE'!$AC$42*'TUSD BF'!$AC$58</f>
        <v>0</v>
      </c>
      <c r="AD42" s="25">
        <f>SUM($AC$42:$AC$42)</f>
        <v>0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BF'!$AH$58</f>
        <v>0</v>
      </c>
      <c r="AI42" s="25">
        <f>'TUSD BE'!$AI$42*'TUSD BF'!$AI$58</f>
        <v>0</v>
      </c>
      <c r="AJ42" s="25">
        <f ca="1">'TUSD BE'!$AJ$42*'TUSD BF'!$AJ$58</f>
        <v>0</v>
      </c>
      <c r="AK42" s="25">
        <f ca="1">'TUSD BE'!$AK$42*'TUSD BF'!$AK$58</f>
        <v>0</v>
      </c>
      <c r="AL42" s="25">
        <f ca="1">SUM($AH$42:$AK$42)</f>
        <v>0</v>
      </c>
      <c r="AM42" s="25">
        <f ca="1">SUMIF($L$4:$AL$4,"SUBTOTAL",$L$42:$AL$42)</f>
        <v>0</v>
      </c>
      <c r="AO42" s="30">
        <f ca="1">+'TUSD BE'!$T$42+'TUSD BE'!$AB$42+'TUSD BE'!$AD$42+'TUSD BE'!$AL$42</f>
        <v>974.69732838639129</v>
      </c>
      <c r="AP42" s="30">
        <f ca="1">+'TUSD BE'!$T$42+'TUSD BE'!$AB$42+'TUSD BE'!$AD$42+'TUSD BE'!$AL$42</f>
        <v>974.69732838639129</v>
      </c>
    </row>
    <row r="43" spans="1:42" ht="11.25" customHeight="1" x14ac:dyDescent="0.3">
      <c r="A43" s="125"/>
      <c r="B43" s="125"/>
      <c r="C43" s="125"/>
      <c r="D43" s="28" t="s">
        <v>85</v>
      </c>
      <c r="E43" s="28" t="s">
        <v>25</v>
      </c>
      <c r="F43" s="28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25">
        <f>'TUSD BE'!$L$43*'TUSD BF'!$L$58</f>
        <v>0</v>
      </c>
      <c r="M43" s="25">
        <f>'TUSD BE'!$M$43*'TUSD BF'!$M$58</f>
        <v>0</v>
      </c>
      <c r="N43" s="25">
        <f ca="1">'TUSD BE'!$N$43*'TUSD BF'!$N$58</f>
        <v>0</v>
      </c>
      <c r="O43" s="25">
        <f>'TUSD BE'!$O$43*'TUSD BF'!$O$58</f>
        <v>0</v>
      </c>
      <c r="P43" s="25">
        <f>'TUSD BE'!$P$43*'TUSD BF'!$P$58</f>
        <v>0</v>
      </c>
      <c r="Q43" s="25">
        <f>'TUSD BE'!$Q$43*'TUSD BF'!$Q$58</f>
        <v>0</v>
      </c>
      <c r="R43" s="25">
        <f>'TUSD BE'!$R$43*'TUSD BF'!$R$58</f>
        <v>0</v>
      </c>
      <c r="S43" s="25">
        <f>'TUSD BE'!$R$43*'TUSD BF'!$S$58</f>
        <v>0</v>
      </c>
      <c r="T43" s="25">
        <f ca="1">SUM($L$43:$S$43)</f>
        <v>0</v>
      </c>
      <c r="U43" s="25">
        <f>'TUSD BE'!$U$43*'TUSD BF'!$U$58</f>
        <v>0</v>
      </c>
      <c r="V43" s="25">
        <f>'TUSD BE'!$V$43*'TUSD BF'!$V$58</f>
        <v>0</v>
      </c>
      <c r="W43" s="25">
        <f>'TUSD BE'!$W$43*'TUSD BF'!$W$58</f>
        <v>0</v>
      </c>
      <c r="X43" s="25">
        <f>'TUSD BE'!$X$43*'TUSD BF'!$X$58</f>
        <v>0</v>
      </c>
      <c r="Y43" s="25">
        <f>'TUSD BE'!$Y$43*'TUSD BF'!$Y$58</f>
        <v>0</v>
      </c>
      <c r="Z43" s="25">
        <f>'TUSD BE'!$Z$43*'TUSD BF'!$Z$58</f>
        <v>0</v>
      </c>
      <c r="AA43" s="25">
        <f>'TUSD BE'!$AA$43*'TUSD BF'!$AA$58</f>
        <v>0</v>
      </c>
      <c r="AB43" s="25">
        <f>SUM($U$43:$AA$43)</f>
        <v>0</v>
      </c>
      <c r="AC43" s="25">
        <f>'TUSD BE'!$AC$43*'TUSD BF'!$AC$58</f>
        <v>0</v>
      </c>
      <c r="AD43" s="25">
        <f>SUM($AC$43:$AC$43)</f>
        <v>0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BF'!$AH$58</f>
        <v>0</v>
      </c>
      <c r="AI43" s="25">
        <f>'TUSD BE'!$AI$43*'TUSD BF'!$AI$58</f>
        <v>0</v>
      </c>
      <c r="AJ43" s="25">
        <f ca="1">'TUSD BE'!$AJ$43*'TUSD BF'!$AJ$58</f>
        <v>0</v>
      </c>
      <c r="AK43" s="25">
        <f ca="1">'TUSD BE'!$AK$43*'TUSD BF'!$AK$58</f>
        <v>0</v>
      </c>
      <c r="AL43" s="25">
        <f ca="1">SUM($AH$43:$AK$43)</f>
        <v>0</v>
      </c>
      <c r="AM43" s="25">
        <f ca="1">SUMIF($L$4:$AL$4,"SUBTOTAL",$L$43:$AL$43)</f>
        <v>0</v>
      </c>
      <c r="AO43" s="30">
        <f ca="1">+'TUSD BE'!$T$43+'TUSD BE'!$AB$43+'TUSD BE'!$AD$43+'TUSD BE'!$AL$43</f>
        <v>974.69732838639129</v>
      </c>
      <c r="AP43" s="30">
        <f ca="1">+'TUSD BE'!$T$43+'TUSD BE'!$AB$43+'TUSD BE'!$AD$43+'TUSD BE'!$AL$43</f>
        <v>974.69732838639129</v>
      </c>
    </row>
    <row r="44" spans="1:42" ht="11.25" customHeight="1" x14ac:dyDescent="0.3">
      <c r="A44" s="125"/>
      <c r="B44" s="125"/>
      <c r="C44" s="125"/>
      <c r="D44" s="28" t="s">
        <v>86</v>
      </c>
      <c r="E44" s="28" t="s">
        <v>25</v>
      </c>
      <c r="F44" s="28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25">
        <f>'TUSD BE'!$L$44*'TUSD BF'!$L$58</f>
        <v>0</v>
      </c>
      <c r="M44" s="25">
        <f>'TUSD BE'!$M$44*'TUSD BF'!$M$58</f>
        <v>0</v>
      </c>
      <c r="N44" s="25">
        <f ca="1">'TUSD BE'!$N$44*'TUSD BF'!$N$58</f>
        <v>0</v>
      </c>
      <c r="O44" s="25">
        <f>'TUSD BE'!$O$44*'TUSD BF'!$O$58</f>
        <v>0</v>
      </c>
      <c r="P44" s="25">
        <f>'TUSD BE'!$P$44*'TUSD BF'!$P$58</f>
        <v>0</v>
      </c>
      <c r="Q44" s="25">
        <f>'TUSD BE'!$Q$44*'TUSD BF'!$Q$58</f>
        <v>0</v>
      </c>
      <c r="R44" s="25">
        <f>'TUSD BE'!$R$44*'TUSD BF'!$R$58</f>
        <v>0</v>
      </c>
      <c r="S44" s="25">
        <f>'TUSD BE'!$R$44*'TUSD BF'!$S$58</f>
        <v>0</v>
      </c>
      <c r="T44" s="25">
        <f ca="1">SUM($L$44:$S$44)</f>
        <v>0</v>
      </c>
      <c r="U44" s="25">
        <f>'TUSD BE'!$U$44*'TUSD BF'!$U$58</f>
        <v>0</v>
      </c>
      <c r="V44" s="25">
        <f>'TUSD BE'!$V$44*'TUSD BF'!$V$58</f>
        <v>0</v>
      </c>
      <c r="W44" s="25">
        <f>'TUSD BE'!$W$44*'TUSD BF'!$W$58</f>
        <v>0</v>
      </c>
      <c r="X44" s="25">
        <f>'TUSD BE'!$X$44*'TUSD BF'!$X$58</f>
        <v>0</v>
      </c>
      <c r="Y44" s="25">
        <f>'TUSD BE'!$Y$44*'TUSD BF'!$Y$58</f>
        <v>0</v>
      </c>
      <c r="Z44" s="25">
        <f>'TUSD BE'!$Z$44*'TUSD BF'!$Z$58</f>
        <v>0</v>
      </c>
      <c r="AA44" s="25">
        <f>'TUSD BE'!$AA$44*'TUSD BF'!$AA$58</f>
        <v>0</v>
      </c>
      <c r="AB44" s="25">
        <f>SUM($U$44:$AA$44)</f>
        <v>0</v>
      </c>
      <c r="AC44" s="25">
        <f>'TUSD BE'!$AC$44*'TUSD BF'!$AC$58</f>
        <v>0</v>
      </c>
      <c r="AD44" s="25">
        <f>SUM($AC$44:$AC$44)</f>
        <v>0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BF'!$AH$58</f>
        <v>0</v>
      </c>
      <c r="AI44" s="25">
        <f>'TUSD BE'!$AI$44*'TUSD BF'!$AI$58</f>
        <v>0</v>
      </c>
      <c r="AJ44" s="25">
        <f ca="1">'TUSD BE'!$AJ$44*'TUSD BF'!$AJ$58</f>
        <v>0</v>
      </c>
      <c r="AK44" s="25">
        <f ca="1">'TUSD BE'!$AK$44*'TUSD BF'!$AK$58</f>
        <v>0</v>
      </c>
      <c r="AL44" s="25">
        <f ca="1">SUM($AH$44:$AK$44)</f>
        <v>0</v>
      </c>
      <c r="AM44" s="25">
        <f ca="1">SUMIF($L$4:$AL$4,"SUBTOTAL",$L$44:$AL$44)</f>
        <v>0</v>
      </c>
      <c r="AO44" s="30">
        <f ca="1">+'TUSD BE'!$T$44+'TUSD BE'!$AB$44+'TUSD BE'!$AD$44+'TUSD BE'!$AL$44</f>
        <v>974.69732838639129</v>
      </c>
      <c r="AP44" s="30">
        <f ca="1">+'TUSD BE'!$T$44+'TUSD BE'!$AB$44+'TUSD BE'!$AD$44+'TUSD BE'!$AL$44</f>
        <v>974.69732838639129</v>
      </c>
    </row>
    <row r="45" spans="1:42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25">
        <f>'TUSD BE'!$L$45*'TUSD BF'!$L$58</f>
        <v>0</v>
      </c>
      <c r="M45" s="25">
        <f>'TUSD BE'!$M$45*'TUSD BF'!$M$58</f>
        <v>0</v>
      </c>
      <c r="N45" s="25">
        <f ca="1">'TUSD BE'!$N$45*'TUSD BF'!$N$58</f>
        <v>0</v>
      </c>
      <c r="O45" s="25">
        <f>'TUSD BE'!$O$45*'TUSD BF'!$O$58</f>
        <v>0</v>
      </c>
      <c r="P45" s="25">
        <f>'TUSD BE'!$P$45*'TUSD BF'!$P$58</f>
        <v>0</v>
      </c>
      <c r="Q45" s="25">
        <f>'TUSD BE'!$Q$45*'TUSD BF'!$Q$58</f>
        <v>0</v>
      </c>
      <c r="R45" s="25">
        <f>'TUSD BE'!$R$45*'TUSD BF'!$R$58</f>
        <v>0</v>
      </c>
      <c r="S45" s="25">
        <f>'TUSD BE'!$R$45*'TUSD BF'!$S$58</f>
        <v>0</v>
      </c>
      <c r="T45" s="25">
        <f ca="1">SUM($L$45:$S$45)</f>
        <v>0</v>
      </c>
      <c r="U45" s="25">
        <f>'TUSD BE'!$U$45*'TUSD BF'!$U$58</f>
        <v>0</v>
      </c>
      <c r="V45" s="25">
        <f>'TUSD BE'!$V$45*'TUSD BF'!$V$58</f>
        <v>0</v>
      </c>
      <c r="W45" s="25">
        <f>'TUSD BE'!$W$45*'TUSD BF'!$W$58</f>
        <v>0</v>
      </c>
      <c r="X45" s="25">
        <f>'TUSD BE'!$X$45*'TUSD BF'!$X$58</f>
        <v>0</v>
      </c>
      <c r="Y45" s="25">
        <f>'TUSD BE'!$Y$45*'TUSD BF'!$Y$58</f>
        <v>0</v>
      </c>
      <c r="Z45" s="25">
        <f>'TUSD BE'!$Z$45*'TUSD BF'!$Z$58</f>
        <v>0</v>
      </c>
      <c r="AA45" s="25">
        <f>'TUSD BE'!$AA$45*'TUSD BF'!$AA$58</f>
        <v>0</v>
      </c>
      <c r="AB45" s="25">
        <f>SUM($U$45:$AA$45)</f>
        <v>0</v>
      </c>
      <c r="AC45" s="25">
        <f>'TUSD BE'!$AC$45*'TUSD BF'!$AC$58</f>
        <v>0</v>
      </c>
      <c r="AD45" s="25">
        <f>SUM($AC$45:$AC$45)</f>
        <v>0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BF'!$AH$58</f>
        <v>0</v>
      </c>
      <c r="AI45" s="25">
        <f>'TUSD BE'!$AI$45*'TUSD BF'!$AI$58</f>
        <v>0</v>
      </c>
      <c r="AJ45" s="25">
        <f ca="1">'TUSD BE'!$AJ$45*'TUSD BF'!$AJ$58</f>
        <v>0</v>
      </c>
      <c r="AK45" s="25">
        <f ca="1">'TUSD BE'!$AK$45*'TUSD BF'!$AK$58</f>
        <v>0</v>
      </c>
      <c r="AL45" s="25">
        <f ca="1">SUM($AH$45:$AK$45)</f>
        <v>0</v>
      </c>
      <c r="AM45" s="25">
        <f ca="1">SUMIF($L$4:$AL$4,"SUBTOTAL",$L$45:$AL$45)</f>
        <v>0</v>
      </c>
      <c r="AO45" s="30">
        <f ca="1">+'TUSD BE'!$T$45+'TUSD BE'!$AB$45+'TUSD BE'!$AD$45+'TUSD BE'!$AL$45</f>
        <v>2899.1362002306701</v>
      </c>
      <c r="AP45" s="30">
        <f ca="1">+'TUSD BE'!$T$45+'TUSD BE'!$AB$45+'TUSD BE'!$AD$45+'TUSD BE'!$AL$45</f>
        <v>2899.1362002306701</v>
      </c>
    </row>
    <row r="46" spans="1:42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25">
        <f>'TUSD BE'!$L$46*'TUSD BF'!$L$58</f>
        <v>0</v>
      </c>
      <c r="M46" s="25">
        <f>'TUSD BE'!$M$46*'TUSD BF'!$M$58</f>
        <v>0</v>
      </c>
      <c r="N46" s="25">
        <f ca="1">'TUSD BE'!$N$46*'TUSD BF'!$N$58</f>
        <v>0</v>
      </c>
      <c r="O46" s="25">
        <f>'TUSD BE'!$O$46*'TUSD BF'!$O$58</f>
        <v>0</v>
      </c>
      <c r="P46" s="25">
        <f>'TUSD BE'!$P$46*'TUSD BF'!$P$58</f>
        <v>0</v>
      </c>
      <c r="Q46" s="25">
        <f>'TUSD BE'!$Q$46*'TUSD BF'!$Q$58</f>
        <v>0</v>
      </c>
      <c r="R46" s="25">
        <f>'TUSD BE'!$R$46*'TUSD BF'!$R$58</f>
        <v>0</v>
      </c>
      <c r="S46" s="25">
        <f>'TUSD BE'!$R$46*'TUSD BF'!$S$58</f>
        <v>0</v>
      </c>
      <c r="T46" s="25">
        <f ca="1">SUM($L$46:$S$46)</f>
        <v>0</v>
      </c>
      <c r="U46" s="25">
        <f>'TUSD BE'!$U$46*'TUSD BF'!$U$58</f>
        <v>0</v>
      </c>
      <c r="V46" s="25">
        <f>'TUSD BE'!$V$46*'TUSD BF'!$V$58</f>
        <v>0</v>
      </c>
      <c r="W46" s="25">
        <f>'TUSD BE'!$W$46*'TUSD BF'!$W$58</f>
        <v>0</v>
      </c>
      <c r="X46" s="25">
        <f>'TUSD BE'!$X$46*'TUSD BF'!$X$58</f>
        <v>0</v>
      </c>
      <c r="Y46" s="25">
        <f>'TUSD BE'!$Y$46*'TUSD BF'!$Y$58</f>
        <v>0</v>
      </c>
      <c r="Z46" s="25">
        <f>'TUSD BE'!$Z$46*'TUSD BF'!$Z$58</f>
        <v>0</v>
      </c>
      <c r="AA46" s="25">
        <f>'TUSD BE'!$AA$46*'TUSD BF'!$AA$58</f>
        <v>0</v>
      </c>
      <c r="AB46" s="25">
        <f>SUM($U$46:$AA$46)</f>
        <v>0</v>
      </c>
      <c r="AC46" s="25">
        <f>'TUSD BE'!$AC$46*'TUSD BF'!$AC$58</f>
        <v>0</v>
      </c>
      <c r="AD46" s="25">
        <f>SUM($AC$46:$AC$46)</f>
        <v>0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BF'!$AH$58</f>
        <v>0</v>
      </c>
      <c r="AI46" s="25">
        <f>'TUSD BE'!$AI$46*'TUSD BF'!$AI$58</f>
        <v>0</v>
      </c>
      <c r="AJ46" s="25">
        <f ca="1">'TUSD BE'!$AJ$46*'TUSD BF'!$AJ$58</f>
        <v>0</v>
      </c>
      <c r="AK46" s="25">
        <f ca="1">'TUSD BE'!$AK$46*'TUSD BF'!$AK$58</f>
        <v>0</v>
      </c>
      <c r="AL46" s="25">
        <f ca="1">SUM($AH$46:$AK$46)</f>
        <v>0</v>
      </c>
      <c r="AM46" s="25">
        <f ca="1">SUMIF($L$4:$AL$4,"SUBTOTAL",$L$46:$AL$46)</f>
        <v>0</v>
      </c>
      <c r="AO46" s="30">
        <f ca="1">+'TUSD BE'!$T$46+'TUSD BE'!$AB$46+'TUSD BE'!$AD$46+'TUSD BE'!$AL$46</f>
        <v>1808.6210796306625</v>
      </c>
      <c r="AP46" s="30">
        <f ca="1">+'TUSD BE'!$T$46+'TUSD BE'!$AB$46+'TUSD BE'!$AD$46+'TUSD BE'!$AL$46</f>
        <v>1808.6210796306625</v>
      </c>
    </row>
    <row r="47" spans="1:42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25">
        <f>'TUSD BE'!$L$47*'TUSD BF'!$L$58</f>
        <v>0</v>
      </c>
      <c r="M47" s="25">
        <f>'TUSD BE'!$M$47*'TUSD BF'!$M$58</f>
        <v>0</v>
      </c>
      <c r="N47" s="25">
        <f ca="1">'TUSD BE'!$N$47*'TUSD BF'!$N$58</f>
        <v>0</v>
      </c>
      <c r="O47" s="25">
        <f>'TUSD BE'!$O$47*'TUSD BF'!$O$58</f>
        <v>0</v>
      </c>
      <c r="P47" s="25">
        <f>'TUSD BE'!$P$47*'TUSD BF'!$P$58</f>
        <v>0</v>
      </c>
      <c r="Q47" s="25">
        <f>'TUSD BE'!$Q$47*'TUSD BF'!$Q$58</f>
        <v>0</v>
      </c>
      <c r="R47" s="25">
        <f>'TUSD BE'!$R$47*'TUSD BF'!$R$58</f>
        <v>0</v>
      </c>
      <c r="S47" s="25">
        <f>'TUSD BE'!$R$47*'TUSD BF'!$S$58</f>
        <v>0</v>
      </c>
      <c r="T47" s="25">
        <f ca="1">SUM($L$47:$S$47)</f>
        <v>0</v>
      </c>
      <c r="U47" s="25">
        <f>'TUSD BE'!$U$47*'TUSD BF'!$U$58</f>
        <v>0</v>
      </c>
      <c r="V47" s="25">
        <f>'TUSD BE'!$V$47*'TUSD BF'!$V$58</f>
        <v>0</v>
      </c>
      <c r="W47" s="25">
        <f>'TUSD BE'!$W$47*'TUSD BF'!$W$58</f>
        <v>0</v>
      </c>
      <c r="X47" s="25">
        <f>'TUSD BE'!$X$47*'TUSD BF'!$X$58</f>
        <v>0</v>
      </c>
      <c r="Y47" s="25">
        <f>'TUSD BE'!$Y$47*'TUSD BF'!$Y$58</f>
        <v>0</v>
      </c>
      <c r="Z47" s="25">
        <f>'TUSD BE'!$Z$47*'TUSD BF'!$Z$58</f>
        <v>0</v>
      </c>
      <c r="AA47" s="25">
        <f>'TUSD BE'!$AA$47*'TUSD BF'!$AA$58</f>
        <v>0</v>
      </c>
      <c r="AB47" s="25">
        <f>SUM($U$47:$AA$47)</f>
        <v>0</v>
      </c>
      <c r="AC47" s="25">
        <f>'TUSD BE'!$AC$47*'TUSD BF'!$AC$58</f>
        <v>0</v>
      </c>
      <c r="AD47" s="25">
        <f>SUM($AC$47:$AC$47)</f>
        <v>0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BF'!$AH$58</f>
        <v>0</v>
      </c>
      <c r="AI47" s="25">
        <f>'TUSD BE'!$AI$47*'TUSD BF'!$AI$58</f>
        <v>0</v>
      </c>
      <c r="AJ47" s="25">
        <f ca="1">'TUSD BE'!$AJ$47*'TUSD BF'!$AJ$58</f>
        <v>0</v>
      </c>
      <c r="AK47" s="25">
        <f ca="1">'TUSD BE'!$AK$47*'TUSD BF'!$AK$58</f>
        <v>0</v>
      </c>
      <c r="AL47" s="25">
        <f ca="1">SUM($AH$47:$AK$47)</f>
        <v>0</v>
      </c>
      <c r="AM47" s="25">
        <f ca="1">SUMIF($L$4:$AL$4,"SUBTOTAL",$L$47:$AL$47)</f>
        <v>0</v>
      </c>
      <c r="AO47" s="30">
        <f ca="1">+'TUSD BE'!$T$47+'TUSD BE'!$AB$47+'TUSD BE'!$AD$47+'TUSD BE'!$AL$47</f>
        <v>718.10618063947186</v>
      </c>
      <c r="AP47" s="30">
        <f ca="1">+'TUSD BE'!$T$47+'TUSD BE'!$AB$47+'TUSD BE'!$AD$47+'TUSD BE'!$AL$47</f>
        <v>718.10618063947186</v>
      </c>
    </row>
    <row r="48" spans="1:42" ht="11.25" customHeight="1" x14ac:dyDescent="0.3">
      <c r="A48" s="125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25">
        <f>'TUSD BE'!$L$48*'TUSD BF'!$L$58</f>
        <v>0</v>
      </c>
      <c r="M48" s="25">
        <f>'TUSD BE'!$M$48*'TUSD BF'!$M$58</f>
        <v>0</v>
      </c>
      <c r="N48" s="25">
        <f ca="1">'TUSD BE'!$N$48*'TUSD BF'!$N$58</f>
        <v>0</v>
      </c>
      <c r="O48" s="25">
        <f>'TUSD BE'!$O$48*'TUSD BF'!$O$58</f>
        <v>0</v>
      </c>
      <c r="P48" s="25">
        <f>'TUSD BE'!$P$48*'TUSD BF'!$P$58</f>
        <v>0</v>
      </c>
      <c r="Q48" s="25">
        <f>'TUSD BE'!$Q$48*'TUSD BF'!$Q$58</f>
        <v>0</v>
      </c>
      <c r="R48" s="25">
        <f>'TUSD BE'!$R$48*'TUSD BF'!$R$58</f>
        <v>0</v>
      </c>
      <c r="S48" s="25">
        <f>'TUSD BE'!$R$48*'TUSD BF'!$S$58</f>
        <v>0</v>
      </c>
      <c r="T48" s="25">
        <f ca="1">SUM($L$48:$S$48)</f>
        <v>0</v>
      </c>
      <c r="U48" s="25">
        <f>'TUSD BE'!$U$48*'TUSD BF'!$U$58</f>
        <v>0</v>
      </c>
      <c r="V48" s="25">
        <f>'TUSD BE'!$V$48*'TUSD BF'!$V$58</f>
        <v>0</v>
      </c>
      <c r="W48" s="25">
        <f>'TUSD BE'!$W$48*'TUSD BF'!$W$58</f>
        <v>0</v>
      </c>
      <c r="X48" s="25">
        <f>'TUSD BE'!$X$48*'TUSD BF'!$X$58</f>
        <v>0</v>
      </c>
      <c r="Y48" s="25">
        <f>'TUSD BE'!$Y$48*'TUSD BF'!$Y$58</f>
        <v>0</v>
      </c>
      <c r="Z48" s="25">
        <f>'TUSD BE'!$Z$48*'TUSD BF'!$Z$58</f>
        <v>0</v>
      </c>
      <c r="AA48" s="25">
        <f>'TUSD BE'!$AA$48*'TUSD BF'!$AA$58</f>
        <v>0</v>
      </c>
      <c r="AB48" s="25">
        <f>SUM($U$48:$AA$48)</f>
        <v>0</v>
      </c>
      <c r="AC48" s="25">
        <f>'TUSD BE'!$AC$48*'TUSD BF'!$AC$58</f>
        <v>0</v>
      </c>
      <c r="AD48" s="25">
        <f>SUM($AC$48:$AC$48)</f>
        <v>0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BF'!$AH$58</f>
        <v>0</v>
      </c>
      <c r="AI48" s="25">
        <f>'TUSD BE'!$AI$48*'TUSD BF'!$AI$58</f>
        <v>0</v>
      </c>
      <c r="AJ48" s="25">
        <f ca="1">'TUSD BE'!$AJ$48*'TUSD BF'!$AJ$58</f>
        <v>0</v>
      </c>
      <c r="AK48" s="25">
        <f ca="1">'TUSD BE'!$AK$48*'TUSD BF'!$AK$58</f>
        <v>0</v>
      </c>
      <c r="AL48" s="25">
        <f ca="1">SUM($AH$48:$AK$48)</f>
        <v>0</v>
      </c>
      <c r="AM48" s="25">
        <f ca="1">SUMIF($L$4:$AL$4,"SUBTOTAL",$L$48:$AL$48)</f>
        <v>0</v>
      </c>
      <c r="AO48" s="30">
        <f ca="1">+'TUSD BE'!$T$48+'TUSD BE'!$AB$48+'TUSD BE'!$AD$48+'TUSD BE'!$AL$48</f>
        <v>974.69732838639129</v>
      </c>
      <c r="AP48" s="30">
        <f ca="1">+'TUSD BE'!$T$48+'TUSD BE'!$AB$48+'TUSD BE'!$AD$48+'TUSD BE'!$AL$48</f>
        <v>974.69732838639129</v>
      </c>
    </row>
    <row r="49" spans="1:42" ht="11.25" customHeight="1" x14ac:dyDescent="0.3">
      <c r="A49" s="125"/>
      <c r="B49" s="28" t="s">
        <v>84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25">
        <f>'TUSD BE'!$L$49*'TUSD BF'!$L$58</f>
        <v>0</v>
      </c>
      <c r="M49" s="25">
        <f>'TUSD BE'!$M$49*'TUSD BF'!$M$58</f>
        <v>0</v>
      </c>
      <c r="N49" s="25">
        <f ca="1">'TUSD BE'!$N$49*'TUSD BF'!$N$58</f>
        <v>0</v>
      </c>
      <c r="O49" s="25">
        <f>'TUSD BE'!$O$49*'TUSD BF'!$O$58</f>
        <v>0</v>
      </c>
      <c r="P49" s="25">
        <f>'TUSD BE'!$P$49*'TUSD BF'!$P$58</f>
        <v>0</v>
      </c>
      <c r="Q49" s="25">
        <f>'TUSD BE'!$Q$49*'TUSD BF'!$Q$58</f>
        <v>0</v>
      </c>
      <c r="R49" s="25">
        <f>'TUSD BE'!$R$49*'TUSD BF'!$R$58</f>
        <v>0</v>
      </c>
      <c r="S49" s="25">
        <f>'TUSD BE'!$R$49*'TUSD BF'!$S$58</f>
        <v>0</v>
      </c>
      <c r="T49" s="25">
        <f ca="1">SUM($L$49:$S$49)</f>
        <v>0</v>
      </c>
      <c r="U49" s="25">
        <f>'TUSD BE'!$U$49*'TUSD BF'!$U$58</f>
        <v>0</v>
      </c>
      <c r="V49" s="25">
        <f>'TUSD BE'!$V$49*'TUSD BF'!$V$58</f>
        <v>0</v>
      </c>
      <c r="W49" s="25">
        <f>'TUSD BE'!$W$49*'TUSD BF'!$W$58</f>
        <v>0</v>
      </c>
      <c r="X49" s="25">
        <f>'TUSD BE'!$X$49*'TUSD BF'!$X$58</f>
        <v>0</v>
      </c>
      <c r="Y49" s="25">
        <f>'TUSD BE'!$Y$49*'TUSD BF'!$Y$58</f>
        <v>0</v>
      </c>
      <c r="Z49" s="25">
        <f>'TUSD BE'!$Z$49*'TUSD BF'!$Z$58</f>
        <v>0</v>
      </c>
      <c r="AA49" s="25">
        <f>'TUSD BE'!$AA$49*'TUSD BF'!$AA$58</f>
        <v>0</v>
      </c>
      <c r="AB49" s="25">
        <f>SUM($U$49:$AA$49)</f>
        <v>0</v>
      </c>
      <c r="AC49" s="25">
        <f>'TUSD BE'!$AC$49*'TUSD BF'!$AC$58</f>
        <v>0</v>
      </c>
      <c r="AD49" s="25">
        <f>SUM($AC$49:$AC$49)</f>
        <v>0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BF'!$AH$58</f>
        <v>0</v>
      </c>
      <c r="AI49" s="25">
        <f>'TUSD BE'!$AI$49*'TUSD BF'!$AI$58</f>
        <v>0</v>
      </c>
      <c r="AJ49" s="25">
        <f ca="1">'TUSD BE'!$AJ$49*'TUSD BF'!$AJ$58</f>
        <v>0</v>
      </c>
      <c r="AK49" s="25">
        <f ca="1">'TUSD BE'!$AK$49*'TUSD BF'!$AK$58</f>
        <v>0</v>
      </c>
      <c r="AL49" s="25">
        <f ca="1">SUM($AH$49:$AK$49)</f>
        <v>0</v>
      </c>
      <c r="AM49" s="25">
        <f ca="1">SUMIF($L$4:$AL$4,"SUBTOTAL",$L$49:$AL$49)</f>
        <v>0</v>
      </c>
      <c r="AO49" s="30">
        <f ca="1">+'TUSD BE'!$T$49+'TUSD BE'!$AB$49+'TUSD BE'!$AD$49+'TUSD BE'!$AL$49</f>
        <v>974.69732838639129</v>
      </c>
      <c r="AP49" s="30">
        <f ca="1">+'TUSD BE'!$T$49+'TUSD BE'!$AB$49+'TUSD BE'!$AD$49+'TUSD BE'!$AL$49</f>
        <v>974.69732838639129</v>
      </c>
    </row>
    <row r="50" spans="1:42" ht="11.25" customHeight="1" x14ac:dyDescent="0.3">
      <c r="A50" s="125" t="s">
        <v>43</v>
      </c>
      <c r="B50" s="125" t="s">
        <v>23</v>
      </c>
      <c r="C50" s="125" t="s">
        <v>44</v>
      </c>
      <c r="D50" s="28" t="s">
        <v>45</v>
      </c>
      <c r="E50" s="28" t="s">
        <v>25</v>
      </c>
      <c r="F50" s="28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25">
        <f>'TUSD BE'!$L$50*'TUSD BF'!$L$58</f>
        <v>0</v>
      </c>
      <c r="M50" s="25">
        <f>'TUSD BE'!$M$50*'TUSD BF'!$M$58</f>
        <v>0</v>
      </c>
      <c r="N50" s="25">
        <f ca="1">'TUSD BE'!$N$50*'TUSD BF'!$N$58</f>
        <v>0</v>
      </c>
      <c r="O50" s="25">
        <f>'TUSD BE'!$O$50*'TUSD BF'!$O$58</f>
        <v>0</v>
      </c>
      <c r="P50" s="25">
        <f>'TUSD BE'!$P$50*'TUSD BF'!$P$58</f>
        <v>0</v>
      </c>
      <c r="Q50" s="25">
        <f>'TUSD BE'!$Q$50*'TUSD BF'!$Q$58</f>
        <v>0</v>
      </c>
      <c r="R50" s="25">
        <f>'TUSD BE'!$R$50*'TUSD BF'!$R$58</f>
        <v>0</v>
      </c>
      <c r="S50" s="25">
        <f>'TUSD BE'!$R$50*'TUSD BF'!$S$58</f>
        <v>0</v>
      </c>
      <c r="T50" s="25">
        <f ca="1">SUM($L$50:$S$50)</f>
        <v>0</v>
      </c>
      <c r="U50" s="25">
        <f>'TUSD BE'!$U$50*'TUSD BF'!$U$58</f>
        <v>0</v>
      </c>
      <c r="V50" s="25">
        <f>'TUSD BE'!$V$50*'TUSD BF'!$V$58</f>
        <v>0</v>
      </c>
      <c r="W50" s="25">
        <f>'TUSD BE'!$W$50*'TUSD BF'!$W$58</f>
        <v>0</v>
      </c>
      <c r="X50" s="25">
        <f>'TUSD BE'!$X$50*'TUSD BF'!$X$58</f>
        <v>0</v>
      </c>
      <c r="Y50" s="25">
        <f>'TUSD BE'!$Y$50*'TUSD BF'!$Y$58</f>
        <v>0</v>
      </c>
      <c r="Z50" s="25">
        <f>'TUSD BE'!$Z$50*'TUSD BF'!$Z$58</f>
        <v>0</v>
      </c>
      <c r="AA50" s="25">
        <f>'TUSD BE'!$AA$50*'TUSD BF'!$AA$58</f>
        <v>0</v>
      </c>
      <c r="AB50" s="25">
        <f>SUM($U$50:$AA$50)</f>
        <v>0</v>
      </c>
      <c r="AC50" s="25">
        <f>'TUSD BE'!$AC$50*'TUSD BF'!$AC$58</f>
        <v>0</v>
      </c>
      <c r="AD50" s="25">
        <f>SUM($AC$50:$AC$50)</f>
        <v>0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BF'!$AH$58</f>
        <v>0</v>
      </c>
      <c r="AI50" s="25">
        <f>'TUSD BE'!$AI$50*'TUSD BF'!$AI$58</f>
        <v>0</v>
      </c>
      <c r="AJ50" s="25">
        <f ca="1">'TUSD BE'!$AJ$50*'TUSD BF'!$AJ$58</f>
        <v>0</v>
      </c>
      <c r="AK50" s="25">
        <f ca="1">'TUSD BE'!$AK$50*'TUSD BF'!$AK$58</f>
        <v>0</v>
      </c>
      <c r="AL50" s="25">
        <f ca="1">SUM($AH$50:$AK$50)</f>
        <v>0</v>
      </c>
      <c r="AM50" s="25">
        <f ca="1">SUMIF($L$4:$AL$4,"SUBTOTAL",$L$50:$AL$50)</f>
        <v>0</v>
      </c>
      <c r="AO50" s="30">
        <f ca="1">+'TUSD BE'!$T$50+'TUSD BE'!$AB$50+'TUSD BE'!$AD$50+'TUSD BE'!$AL$50</f>
        <v>516.58958404478744</v>
      </c>
      <c r="AP50" s="30">
        <f ca="1">+'TUSD BE'!$T$50+'TUSD BE'!$AB$50+'TUSD BE'!$AD$50+'TUSD BE'!$AL$50</f>
        <v>516.58958404478744</v>
      </c>
    </row>
    <row r="51" spans="1:42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25">
        <f>'TUSD BE'!$L$51*'TUSD BF'!$L$58</f>
        <v>0</v>
      </c>
      <c r="M51" s="25">
        <f>'TUSD BE'!$M$51*'TUSD BF'!$M$58</f>
        <v>0</v>
      </c>
      <c r="N51" s="25">
        <f ca="1">'TUSD BE'!$N$51*'TUSD BF'!$N$58</f>
        <v>0</v>
      </c>
      <c r="O51" s="25">
        <f>'TUSD BE'!$O$51*'TUSD BF'!$O$58</f>
        <v>0</v>
      </c>
      <c r="P51" s="25">
        <f>'TUSD BE'!$P$51*'TUSD BF'!$P$58</f>
        <v>0</v>
      </c>
      <c r="Q51" s="25">
        <f>'TUSD BE'!$Q$51*'TUSD BF'!$Q$58</f>
        <v>0</v>
      </c>
      <c r="R51" s="25">
        <f>'TUSD BE'!$R$51*'TUSD BF'!$R$58</f>
        <v>0</v>
      </c>
      <c r="S51" s="25">
        <f>'TUSD BE'!$R$51*'TUSD BF'!$S$58</f>
        <v>0</v>
      </c>
      <c r="T51" s="25">
        <f ca="1">SUM($L$51:$S$51)</f>
        <v>0</v>
      </c>
      <c r="U51" s="25">
        <f>'TUSD BE'!$U$51*'TUSD BF'!$U$58</f>
        <v>0</v>
      </c>
      <c r="V51" s="25">
        <f>'TUSD BE'!$V$51*'TUSD BF'!$V$58</f>
        <v>0</v>
      </c>
      <c r="W51" s="25">
        <f>'TUSD BE'!$W$51*'TUSD BF'!$W$58</f>
        <v>0</v>
      </c>
      <c r="X51" s="25">
        <f>'TUSD BE'!$X$51*'TUSD BF'!$X$58</f>
        <v>0</v>
      </c>
      <c r="Y51" s="25">
        <f>'TUSD BE'!$Y$51*'TUSD BF'!$Y$58</f>
        <v>0</v>
      </c>
      <c r="Z51" s="25">
        <f>'TUSD BE'!$Z$51*'TUSD BF'!$Z$58</f>
        <v>0</v>
      </c>
      <c r="AA51" s="25">
        <f>'TUSD BE'!$AA$51*'TUSD BF'!$AA$58</f>
        <v>0</v>
      </c>
      <c r="AB51" s="25">
        <f>SUM($U$51:$AA$51)</f>
        <v>0</v>
      </c>
      <c r="AC51" s="25">
        <f>'TUSD BE'!$AC$51*'TUSD BF'!$AC$58</f>
        <v>0</v>
      </c>
      <c r="AD51" s="25">
        <f>SUM($AC$51:$AC$51)</f>
        <v>0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BF'!$AH$58</f>
        <v>0</v>
      </c>
      <c r="AI51" s="25">
        <f>'TUSD BE'!$AI$51*'TUSD BF'!$AI$58</f>
        <v>0</v>
      </c>
      <c r="AJ51" s="25">
        <f ca="1">'TUSD BE'!$AJ$51*'TUSD BF'!$AJ$58</f>
        <v>0</v>
      </c>
      <c r="AK51" s="25">
        <f ca="1">'TUSD BE'!$AK$51*'TUSD BF'!$AK$58</f>
        <v>0</v>
      </c>
      <c r="AL51" s="25">
        <f ca="1">SUM($AH$51:$AK$51)</f>
        <v>0</v>
      </c>
      <c r="AM51" s="25">
        <f ca="1">SUMIF($L$4:$AL$4,"SUBTOTAL",$L$51:$AL$51)</f>
        <v>0</v>
      </c>
      <c r="AO51" s="30">
        <f ca="1">+'TUSD BE'!$T$51+'TUSD BE'!$AB$51+'TUSD BE'!$AD$51+'TUSD BE'!$AL$51</f>
        <v>565.32445046410703</v>
      </c>
      <c r="AP51" s="30">
        <f ca="1">+'TUSD BE'!$T$51+'TUSD BE'!$AB$51+'TUSD BE'!$AD$51+'TUSD BE'!$AL$51</f>
        <v>565.32445046410703</v>
      </c>
    </row>
    <row r="53" spans="1:42" ht="11.25" customHeight="1" x14ac:dyDescent="0.3">
      <c r="K53" s="27" t="s">
        <v>456</v>
      </c>
      <c r="L53" s="25">
        <f>SUMPRODUCT($I$5:$I51,$L$5:$L51)</f>
        <v>0</v>
      </c>
      <c r="M53" s="25">
        <f>SUMPRODUCT($I$5:$I51,$M$5:$M51)</f>
        <v>0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0</v>
      </c>
      <c r="R53" s="25">
        <f>SUMPRODUCT($I$5:$I51,$R$5:$R51)</f>
        <v>0</v>
      </c>
      <c r="S53" s="25">
        <f>SUMPRODUCT($I$5:$I51,$S$5:$S51)</f>
        <v>0</v>
      </c>
      <c r="T53" s="25">
        <f ca="1">SUMPRODUCT($I$5:$I51,$T$5:$T51)</f>
        <v>0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0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0</v>
      </c>
      <c r="AC53" s="25">
        <f>SUMPRODUCT($I$5:$I51,$AC$5:$AC51)</f>
        <v>0</v>
      </c>
      <c r="AD53" s="25">
        <f>SUMPRODUCT($I$5:$I51,$AD$5:$AD51)</f>
        <v>0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0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0</v>
      </c>
      <c r="AM53" s="25">
        <f ca="1">SUMPRODUCT($I$5:$I51,$AM$5:$AM51)</f>
        <v>0</v>
      </c>
      <c r="AO53" s="21">
        <f ca="1">SUMPRODUCT($I$5:$I51,$AO$5:$AO51)</f>
        <v>18762404.246863116</v>
      </c>
      <c r="AP53" s="21">
        <f ca="1">SUMPRODUCT($I$5:$I51,$AP$5:$AP51)</f>
        <v>18762404.246863116</v>
      </c>
    </row>
    <row r="54" spans="1:42" ht="11.25" customHeight="1" x14ac:dyDescent="0.3">
      <c r="K54" s="27" t="s">
        <v>388</v>
      </c>
      <c r="L54" s="25">
        <f>'TR TUSD'!$L$56</f>
        <v>940401.95930646476</v>
      </c>
      <c r="M54" s="25">
        <f>'TR TUSD'!$M$56</f>
        <v>48815.20758835032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1670551.4433299995</v>
      </c>
      <c r="R54" s="25">
        <f>'TR TUSD'!$R$56</f>
        <v>283354.38656999997</v>
      </c>
      <c r="S54" s="25">
        <f>'TR TUSD'!$S$56</f>
        <v>0</v>
      </c>
      <c r="T54" s="25">
        <f>'TR TUSD'!$T$56</f>
        <v>2943122.9967948147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5653993.3905727211</v>
      </c>
      <c r="Z54" s="25">
        <f>'TR TUSD'!$Z$56</f>
        <v>0</v>
      </c>
      <c r="AA54" s="25">
        <f>'TR TUSD'!$AA$56</f>
        <v>0</v>
      </c>
      <c r="AB54" s="25">
        <f>'TR TUSD'!$AB$56</f>
        <v>5653993.3905727211</v>
      </c>
      <c r="AC54" s="25">
        <f>'TR TUSD'!$AC$56</f>
        <v>9779497.2699999996</v>
      </c>
      <c r="AD54" s="25">
        <f>'TR TUSD'!$AD$56</f>
        <v>9779497.2699999996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337619.91186636908</v>
      </c>
      <c r="AI54" s="25">
        <f>'TR TUSD'!$AI$56</f>
        <v>0</v>
      </c>
      <c r="AJ54" s="25">
        <f>'TR TUSD'!$AJ$56</f>
        <v>48170.677629210666</v>
      </c>
      <c r="AK54" s="25">
        <f>'TR TUSD'!$AK$56</f>
        <v>0</v>
      </c>
      <c r="AL54" s="25">
        <f>'TR TUSD'!$AL$56</f>
        <v>385790.58949557971</v>
      </c>
      <c r="AM54" s="25">
        <f>CUSTOS!$D$29</f>
        <v>18762404.246863116</v>
      </c>
      <c r="AO54" s="21">
        <f>$AE$56</f>
        <v>0</v>
      </c>
      <c r="AP54" s="21">
        <f>$AF$56</f>
        <v>0</v>
      </c>
    </row>
    <row r="55" spans="1:42" ht="11.25" customHeight="1" x14ac:dyDescent="0.3">
      <c r="K55" s="27" t="s">
        <v>389</v>
      </c>
      <c r="L55" s="25">
        <f>CUSTOS!$E$2</f>
        <v>0</v>
      </c>
      <c r="M55" s="25">
        <f>CUSTOS!$E$3</f>
        <v>-3035.8732116039228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-144857.12853692571</v>
      </c>
      <c r="R55" s="25">
        <f>CUSTOS!$E$8</f>
        <v>-12708.347033321957</v>
      </c>
      <c r="S55" s="25">
        <f>CUSTOS!$E$9</f>
        <v>0</v>
      </c>
      <c r="T55" s="25">
        <f>CUSTOS!$E$10</f>
        <v>-160601.34878185159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1764642.8512380794</v>
      </c>
      <c r="Z55" s="25">
        <f>CUSTOS!$E$16</f>
        <v>0</v>
      </c>
      <c r="AA55" s="25">
        <f>CUSTOS!$E$17</f>
        <v>0</v>
      </c>
      <c r="AB55" s="25">
        <f>CUSTOS!$E$18</f>
        <v>1764642.8512380794</v>
      </c>
      <c r="AC55" s="25">
        <f>CUSTOS!$E$19</f>
        <v>-320580.44753324438</v>
      </c>
      <c r="AD55" s="25">
        <f>CUSTOS!$E$20</f>
        <v>-320580.44753324438</v>
      </c>
      <c r="AE55" s="25">
        <f>CUSTOS!$E$21</f>
        <v>0</v>
      </c>
      <c r="AF55" s="25">
        <f>CUSTOS!$E$22</f>
        <v>0</v>
      </c>
      <c r="AG55" s="25">
        <f>CUSTOS!$E$23</f>
        <v>0</v>
      </c>
      <c r="AH55" s="25">
        <f>CUSTOS!$E$24</f>
        <v>80207.561574186955</v>
      </c>
      <c r="AI55" s="25">
        <f>CUSTOS!$E$25</f>
        <v>0</v>
      </c>
      <c r="AJ55" s="25">
        <f>CUSTOS!$E$26</f>
        <v>11443.793615894519</v>
      </c>
      <c r="AK55" s="25">
        <f>CUSTOS!$E$27</f>
        <v>0</v>
      </c>
      <c r="AL55" s="25">
        <f>CUSTOS!$E$28</f>
        <v>91651.355190081478</v>
      </c>
      <c r="AM55" s="25">
        <f>CUSTOS!$E$29</f>
        <v>1375112.410113065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3">
      <c r="K56" s="27" t="s">
        <v>390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3">
      <c r="K57" s="27" t="s">
        <v>453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/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/>
      <c r="AC57" s="25">
        <v>0</v>
      </c>
      <c r="AD57" s="25"/>
      <c r="AE57" s="25">
        <v>0</v>
      </c>
      <c r="AF57" s="25">
        <v>0</v>
      </c>
      <c r="AG57" s="25"/>
      <c r="AH57" s="25">
        <v>0</v>
      </c>
      <c r="AI57" s="25">
        <v>0</v>
      </c>
      <c r="AJ57" s="25">
        <v>0</v>
      </c>
      <c r="AK57" s="25">
        <v>0</v>
      </c>
      <c r="AL57" s="25"/>
      <c r="AM57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685" priority="55" operator="notEqual">
      <formula>$L$56</formula>
    </cfRule>
    <cfRule type="cellIs" dxfId="684" priority="56" operator="equal">
      <formula>$L$56</formula>
    </cfRule>
  </conditionalFormatting>
  <conditionalFormatting sqref="M53">
    <cfRule type="cellIs" dxfId="683" priority="53" operator="notEqual">
      <formula>$M$56</formula>
    </cfRule>
    <cfRule type="cellIs" dxfId="682" priority="54" operator="equal">
      <formula>$M$56</formula>
    </cfRule>
  </conditionalFormatting>
  <conditionalFormatting sqref="N53">
    <cfRule type="cellIs" dxfId="681" priority="51" operator="notEqual">
      <formula>$N$56</formula>
    </cfRule>
    <cfRule type="cellIs" dxfId="680" priority="52" operator="equal">
      <formula>$N$56</formula>
    </cfRule>
  </conditionalFormatting>
  <conditionalFormatting sqref="O53">
    <cfRule type="cellIs" dxfId="679" priority="49" operator="notEqual">
      <formula>$O$56</formula>
    </cfRule>
    <cfRule type="cellIs" dxfId="678" priority="50" operator="equal">
      <formula>$O$56</formula>
    </cfRule>
  </conditionalFormatting>
  <conditionalFormatting sqref="P53">
    <cfRule type="cellIs" dxfId="677" priority="47" operator="notEqual">
      <formula>$P$56</formula>
    </cfRule>
    <cfRule type="cellIs" dxfId="676" priority="48" operator="equal">
      <formula>$P$56</formula>
    </cfRule>
  </conditionalFormatting>
  <conditionalFormatting sqref="Q53">
    <cfRule type="cellIs" dxfId="675" priority="45" operator="notEqual">
      <formula>$Q$56</formula>
    </cfRule>
    <cfRule type="cellIs" dxfId="674" priority="46" operator="equal">
      <formula>$Q$56</formula>
    </cfRule>
  </conditionalFormatting>
  <conditionalFormatting sqref="R53">
    <cfRule type="cellIs" dxfId="673" priority="43" operator="notEqual">
      <formula>$R$56</formula>
    </cfRule>
    <cfRule type="cellIs" dxfId="672" priority="44" operator="equal">
      <formula>$R$56</formula>
    </cfRule>
  </conditionalFormatting>
  <conditionalFormatting sqref="S53">
    <cfRule type="cellIs" dxfId="671" priority="41" operator="notEqual">
      <formula>$S$56</formula>
    </cfRule>
    <cfRule type="cellIs" dxfId="670" priority="42" operator="equal">
      <formula>$S$56</formula>
    </cfRule>
  </conditionalFormatting>
  <conditionalFormatting sqref="T53">
    <cfRule type="cellIs" dxfId="669" priority="39" operator="notEqual">
      <formula>$T$56</formula>
    </cfRule>
    <cfRule type="cellIs" dxfId="668" priority="40" operator="equal">
      <formula>$T$56</formula>
    </cfRule>
  </conditionalFormatting>
  <conditionalFormatting sqref="U53">
    <cfRule type="cellIs" dxfId="667" priority="37" operator="notEqual">
      <formula>$U$56</formula>
    </cfRule>
    <cfRule type="cellIs" dxfId="666" priority="38" operator="equal">
      <formula>$U$56</formula>
    </cfRule>
  </conditionalFormatting>
  <conditionalFormatting sqref="V53">
    <cfRule type="cellIs" dxfId="665" priority="35" operator="notEqual">
      <formula>$V$56</formula>
    </cfRule>
    <cfRule type="cellIs" dxfId="664" priority="36" operator="equal">
      <formula>$V$56</formula>
    </cfRule>
  </conditionalFormatting>
  <conditionalFormatting sqref="W53">
    <cfRule type="cellIs" dxfId="663" priority="33" operator="notEqual">
      <formula>$W$56</formula>
    </cfRule>
    <cfRule type="cellIs" dxfId="662" priority="34" operator="equal">
      <formula>$W$56</formula>
    </cfRule>
  </conditionalFormatting>
  <conditionalFormatting sqref="X53">
    <cfRule type="cellIs" dxfId="661" priority="31" operator="notEqual">
      <formula>$X$56</formula>
    </cfRule>
    <cfRule type="cellIs" dxfId="660" priority="32" operator="equal">
      <formula>$X$56</formula>
    </cfRule>
  </conditionalFormatting>
  <conditionalFormatting sqref="Y53">
    <cfRule type="cellIs" dxfId="659" priority="29" operator="notEqual">
      <formula>$Y$56</formula>
    </cfRule>
    <cfRule type="cellIs" dxfId="658" priority="30" operator="equal">
      <formula>$Y$56</formula>
    </cfRule>
  </conditionalFormatting>
  <conditionalFormatting sqref="Z53">
    <cfRule type="cellIs" dxfId="657" priority="27" operator="notEqual">
      <formula>$Z$56</formula>
    </cfRule>
    <cfRule type="cellIs" dxfId="656" priority="28" operator="equal">
      <formula>$Z$56</formula>
    </cfRule>
  </conditionalFormatting>
  <conditionalFormatting sqref="AA53">
    <cfRule type="cellIs" dxfId="655" priority="25" operator="notEqual">
      <formula>$AA$56</formula>
    </cfRule>
    <cfRule type="cellIs" dxfId="654" priority="26" operator="equal">
      <formula>$AA$56</formula>
    </cfRule>
  </conditionalFormatting>
  <conditionalFormatting sqref="AB53">
    <cfRule type="cellIs" dxfId="653" priority="23" operator="notEqual">
      <formula>$AB$56</formula>
    </cfRule>
    <cfRule type="cellIs" dxfId="652" priority="24" operator="equal">
      <formula>$AB$56</formula>
    </cfRule>
  </conditionalFormatting>
  <conditionalFormatting sqref="AC53">
    <cfRule type="cellIs" dxfId="651" priority="21" operator="notEqual">
      <formula>$AC$56</formula>
    </cfRule>
    <cfRule type="cellIs" dxfId="650" priority="22" operator="equal">
      <formula>$AC$56</formula>
    </cfRule>
  </conditionalFormatting>
  <conditionalFormatting sqref="AD53">
    <cfRule type="cellIs" dxfId="649" priority="19" operator="notEqual">
      <formula>$AD$56</formula>
    </cfRule>
    <cfRule type="cellIs" dxfId="648" priority="20" operator="equal">
      <formula>$AD$56</formula>
    </cfRule>
  </conditionalFormatting>
  <conditionalFormatting sqref="AE53">
    <cfRule type="cellIs" dxfId="647" priority="17" operator="notEqual">
      <formula>$AE$56</formula>
    </cfRule>
    <cfRule type="cellIs" dxfId="646" priority="18" operator="equal">
      <formula>$AE$56</formula>
    </cfRule>
  </conditionalFormatting>
  <conditionalFormatting sqref="AF53">
    <cfRule type="cellIs" dxfId="645" priority="16" operator="equal">
      <formula>$AF$56</formula>
    </cfRule>
  </conditionalFormatting>
  <conditionalFormatting sqref="AF53">
    <cfRule type="cellIs" dxfId="644" priority="15" operator="notEqual">
      <formula>$AF$56</formula>
    </cfRule>
  </conditionalFormatting>
  <conditionalFormatting sqref="AG53">
    <cfRule type="cellIs" dxfId="643" priority="14" operator="equal">
      <formula>$AG$56</formula>
    </cfRule>
  </conditionalFormatting>
  <conditionalFormatting sqref="AG53">
    <cfRule type="cellIs" dxfId="642" priority="13" operator="notEqual">
      <formula>$AG$56</formula>
    </cfRule>
  </conditionalFormatting>
  <conditionalFormatting sqref="AH53">
    <cfRule type="cellIs" dxfId="641" priority="12" operator="equal">
      <formula>$AH$56</formula>
    </cfRule>
  </conditionalFormatting>
  <conditionalFormatting sqref="AH53">
    <cfRule type="cellIs" dxfId="640" priority="11" operator="notEqual">
      <formula>$AH$56</formula>
    </cfRule>
  </conditionalFormatting>
  <conditionalFormatting sqref="AI53">
    <cfRule type="cellIs" dxfId="639" priority="10" operator="equal">
      <formula>$AI$56</formula>
    </cfRule>
  </conditionalFormatting>
  <conditionalFormatting sqref="AI53">
    <cfRule type="cellIs" dxfId="638" priority="9" operator="notEqual">
      <formula>$AI$56</formula>
    </cfRule>
  </conditionalFormatting>
  <conditionalFormatting sqref="AJ53">
    <cfRule type="cellIs" dxfId="637" priority="8" operator="equal">
      <formula>$AJ$56</formula>
    </cfRule>
  </conditionalFormatting>
  <conditionalFormatting sqref="AJ53">
    <cfRule type="cellIs" dxfId="636" priority="7" operator="notEqual">
      <formula>$AJ$56</formula>
    </cfRule>
  </conditionalFormatting>
  <conditionalFormatting sqref="AK53">
    <cfRule type="cellIs" dxfId="635" priority="6" operator="equal">
      <formula>$AK$56</formula>
    </cfRule>
  </conditionalFormatting>
  <conditionalFormatting sqref="AK53">
    <cfRule type="cellIs" dxfId="634" priority="5" operator="notEqual">
      <formula>$AK$56</formula>
    </cfRule>
  </conditionalFormatting>
  <conditionalFormatting sqref="AL53">
    <cfRule type="cellIs" dxfId="633" priority="4" operator="equal">
      <formula>$AL$56</formula>
    </cfRule>
  </conditionalFormatting>
  <conditionalFormatting sqref="AL53">
    <cfRule type="cellIs" dxfId="632" priority="3" operator="notEqual">
      <formula>$AL$56</formula>
    </cfRule>
  </conditionalFormatting>
  <conditionalFormatting sqref="AM53">
    <cfRule type="cellIs" dxfId="631" priority="2" operator="equal">
      <formula>$AM$56</formula>
    </cfRule>
  </conditionalFormatting>
  <conditionalFormatting sqref="AM53">
    <cfRule type="cellIs" dxfId="630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87E3-7F5E-42F1-94A6-A02C9E2920FA}">
  <dimension ref="A1:AA49"/>
  <sheetViews>
    <sheetView showGridLines="0" topLeftCell="A28" workbookViewId="0">
      <selection activeCell="K43" sqref="K43:AA4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57</v>
      </c>
      <c r="B1" s="130" t="s">
        <v>58</v>
      </c>
      <c r="C1" s="130" t="s">
        <v>59</v>
      </c>
      <c r="D1" s="130" t="s">
        <v>60</v>
      </c>
      <c r="E1" s="130" t="s">
        <v>61</v>
      </c>
      <c r="F1" s="130" t="s">
        <v>15</v>
      </c>
      <c r="G1" s="130" t="s">
        <v>63</v>
      </c>
      <c r="H1" s="130" t="s">
        <v>64</v>
      </c>
      <c r="I1" s="130" t="s">
        <v>447</v>
      </c>
      <c r="J1" s="115"/>
      <c r="L1" s="131" t="s">
        <v>468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5"/>
      <c r="L2" s="131" t="s">
        <v>375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5"/>
      <c r="L3" s="131" t="s">
        <v>348</v>
      </c>
      <c r="M3" s="131"/>
      <c r="N3" s="131"/>
      <c r="O3" s="131"/>
      <c r="P3" s="131"/>
      <c r="Q3" s="131" t="s">
        <v>378</v>
      </c>
      <c r="R3" s="131"/>
      <c r="S3" s="131" t="s">
        <v>357</v>
      </c>
      <c r="T3" s="131"/>
      <c r="U3" s="131"/>
      <c r="V3" s="131"/>
      <c r="W3" s="131" t="s">
        <v>367</v>
      </c>
      <c r="X3" s="131"/>
      <c r="Y3" s="131" t="s">
        <v>370</v>
      </c>
      <c r="Z3" s="131"/>
      <c r="AA3" s="131" t="s">
        <v>356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5"/>
      <c r="L4" s="34" t="s">
        <v>350</v>
      </c>
      <c r="M4" s="34" t="s">
        <v>376</v>
      </c>
      <c r="N4" s="34" t="s">
        <v>377</v>
      </c>
      <c r="O4" s="34" t="s">
        <v>435</v>
      </c>
      <c r="P4" s="34" t="s">
        <v>356</v>
      </c>
      <c r="Q4" s="34" t="s">
        <v>379</v>
      </c>
      <c r="R4" s="34" t="s">
        <v>356</v>
      </c>
      <c r="S4" s="34" t="s">
        <v>380</v>
      </c>
      <c r="T4" s="34" t="s">
        <v>381</v>
      </c>
      <c r="U4" s="34" t="s">
        <v>382</v>
      </c>
      <c r="V4" s="34" t="s">
        <v>356</v>
      </c>
      <c r="W4" s="34" t="s">
        <v>368</v>
      </c>
      <c r="X4" s="34" t="s">
        <v>356</v>
      </c>
      <c r="Y4" s="34" t="s">
        <v>383</v>
      </c>
      <c r="Z4" s="34" t="s">
        <v>356</v>
      </c>
      <c r="AA4" s="132"/>
    </row>
    <row r="5" spans="1:27" ht="11.25" customHeight="1" x14ac:dyDescent="0.3">
      <c r="A5" s="129" t="s">
        <v>36</v>
      </c>
      <c r="B5" s="129" t="s">
        <v>66</v>
      </c>
      <c r="C5" s="129" t="s">
        <v>25</v>
      </c>
      <c r="D5" s="129" t="s">
        <v>25</v>
      </c>
      <c r="E5" s="129" t="s">
        <v>25</v>
      </c>
      <c r="F5" s="129" t="s">
        <v>25</v>
      </c>
      <c r="G5" s="32" t="s">
        <v>68</v>
      </c>
      <c r="H5" s="32" t="s">
        <v>67</v>
      </c>
      <c r="I5" s="32">
        <f>'MERCADO TE'!$U$2</f>
        <v>149.95200000000003</v>
      </c>
      <c r="J5" s="17"/>
      <c r="L5" s="30">
        <v>1</v>
      </c>
      <c r="M5" s="30">
        <v>1</v>
      </c>
      <c r="N5" s="30">
        <v>1</v>
      </c>
      <c r="O5" s="30">
        <v>1</v>
      </c>
      <c r="P5" s="30"/>
      <c r="Q5" s="30">
        <v>1</v>
      </c>
      <c r="R5" s="30"/>
      <c r="S5" s="30">
        <v>1</v>
      </c>
      <c r="T5" s="30">
        <v>1</v>
      </c>
      <c r="U5" s="30">
        <v>1</v>
      </c>
      <c r="V5" s="30"/>
      <c r="W5" s="30"/>
      <c r="X5" s="30"/>
      <c r="Y5" s="30">
        <v>1</v>
      </c>
      <c r="Z5" s="30"/>
      <c r="AA5" s="30"/>
    </row>
    <row r="6" spans="1:27" ht="11.25" customHeight="1" x14ac:dyDescent="0.3">
      <c r="A6" s="129"/>
      <c r="B6" s="129"/>
      <c r="C6" s="129"/>
      <c r="D6" s="129"/>
      <c r="E6" s="129"/>
      <c r="F6" s="129"/>
      <c r="G6" s="32" t="s">
        <v>69</v>
      </c>
      <c r="H6" s="32" t="s">
        <v>67</v>
      </c>
      <c r="I6" s="32">
        <f>'MERCADO TE'!$U$3</f>
        <v>2536.7999999999997</v>
      </c>
      <c r="J6" s="17"/>
      <c r="L6" s="30">
        <v>1</v>
      </c>
      <c r="M6" s="30">
        <v>1</v>
      </c>
      <c r="N6" s="30">
        <v>1</v>
      </c>
      <c r="O6" s="30">
        <v>1</v>
      </c>
      <c r="P6" s="30"/>
      <c r="Q6" s="30">
        <v>1</v>
      </c>
      <c r="R6" s="30"/>
      <c r="S6" s="30">
        <v>1</v>
      </c>
      <c r="T6" s="30">
        <v>1</v>
      </c>
      <c r="U6" s="30">
        <v>1</v>
      </c>
      <c r="V6" s="30"/>
      <c r="W6" s="30"/>
      <c r="X6" s="30"/>
      <c r="Y6" s="30">
        <v>1</v>
      </c>
      <c r="Z6" s="30"/>
      <c r="AA6" s="30"/>
    </row>
    <row r="7" spans="1:27" ht="11.25" customHeight="1" x14ac:dyDescent="0.3">
      <c r="A7" s="129" t="s">
        <v>22</v>
      </c>
      <c r="B7" s="129" t="s">
        <v>66</v>
      </c>
      <c r="C7" s="129" t="s">
        <v>24</v>
      </c>
      <c r="D7" s="129" t="s">
        <v>24</v>
      </c>
      <c r="E7" s="129" t="s">
        <v>25</v>
      </c>
      <c r="F7" s="129" t="s">
        <v>25</v>
      </c>
      <c r="G7" s="32" t="s">
        <v>68</v>
      </c>
      <c r="H7" s="32" t="s">
        <v>67</v>
      </c>
      <c r="I7" s="32">
        <f>'MERCADO TE'!$U$4</f>
        <v>0</v>
      </c>
      <c r="J7" s="17"/>
      <c r="L7" s="30">
        <v>1</v>
      </c>
      <c r="M7" s="30">
        <v>1</v>
      </c>
      <c r="N7" s="30">
        <v>1</v>
      </c>
      <c r="O7" s="30">
        <v>1</v>
      </c>
      <c r="P7" s="30"/>
      <c r="Q7" s="30">
        <v>1</v>
      </c>
      <c r="R7" s="30"/>
      <c r="S7" s="30">
        <v>1</v>
      </c>
      <c r="T7" s="30">
        <v>1</v>
      </c>
      <c r="U7" s="30">
        <v>1</v>
      </c>
      <c r="V7" s="30"/>
      <c r="W7" s="30"/>
      <c r="X7" s="30"/>
      <c r="Y7" s="30">
        <v>1</v>
      </c>
      <c r="Z7" s="30"/>
      <c r="AA7" s="30"/>
    </row>
    <row r="8" spans="1:27" ht="11.25" customHeight="1" x14ac:dyDescent="0.3">
      <c r="A8" s="129"/>
      <c r="B8" s="129"/>
      <c r="C8" s="129"/>
      <c r="D8" s="129"/>
      <c r="E8" s="129"/>
      <c r="F8" s="129"/>
      <c r="G8" s="32" t="s">
        <v>80</v>
      </c>
      <c r="H8" s="32" t="s">
        <v>67</v>
      </c>
      <c r="I8" s="32">
        <f>'MERCADO TE'!$U$5</f>
        <v>0</v>
      </c>
      <c r="J8" s="17"/>
      <c r="L8" s="30">
        <v>1</v>
      </c>
      <c r="M8" s="30">
        <v>1</v>
      </c>
      <c r="N8" s="30">
        <v>1</v>
      </c>
      <c r="O8" s="30">
        <v>1</v>
      </c>
      <c r="P8" s="30"/>
      <c r="Q8" s="30">
        <v>1</v>
      </c>
      <c r="R8" s="30"/>
      <c r="S8" s="30">
        <v>1</v>
      </c>
      <c r="T8" s="30">
        <v>1</v>
      </c>
      <c r="U8" s="30">
        <v>1</v>
      </c>
      <c r="V8" s="30"/>
      <c r="W8" s="30"/>
      <c r="X8" s="30"/>
      <c r="Y8" s="30">
        <v>1</v>
      </c>
      <c r="Z8" s="30"/>
      <c r="AA8" s="30"/>
    </row>
    <row r="9" spans="1:27" ht="11.25" customHeight="1" x14ac:dyDescent="0.3">
      <c r="A9" s="129"/>
      <c r="B9" s="129"/>
      <c r="C9" s="129"/>
      <c r="D9" s="129"/>
      <c r="E9" s="129"/>
      <c r="F9" s="129"/>
      <c r="G9" s="32" t="s">
        <v>69</v>
      </c>
      <c r="H9" s="32" t="s">
        <v>67</v>
      </c>
      <c r="I9" s="32">
        <f>'MERCADO TE'!$U$6</f>
        <v>0</v>
      </c>
      <c r="J9" s="17"/>
      <c r="L9" s="30">
        <v>1</v>
      </c>
      <c r="M9" s="30">
        <v>1</v>
      </c>
      <c r="N9" s="30">
        <v>1</v>
      </c>
      <c r="O9" s="30">
        <v>1</v>
      </c>
      <c r="P9" s="30"/>
      <c r="Q9" s="30">
        <v>1</v>
      </c>
      <c r="R9" s="30"/>
      <c r="S9" s="30">
        <v>1</v>
      </c>
      <c r="T9" s="30">
        <v>1</v>
      </c>
      <c r="U9" s="30">
        <v>1</v>
      </c>
      <c r="V9" s="30"/>
      <c r="W9" s="30"/>
      <c r="X9" s="30"/>
      <c r="Y9" s="30">
        <v>1</v>
      </c>
      <c r="Z9" s="30"/>
      <c r="AA9" s="30"/>
    </row>
    <row r="10" spans="1:27" ht="11.25" customHeight="1" x14ac:dyDescent="0.3">
      <c r="A10" s="129"/>
      <c r="B10" s="129" t="s">
        <v>81</v>
      </c>
      <c r="C10" s="129" t="s">
        <v>24</v>
      </c>
      <c r="D10" s="33" t="s">
        <v>24</v>
      </c>
      <c r="E10" s="33" t="s">
        <v>25</v>
      </c>
      <c r="F10" s="33" t="s">
        <v>25</v>
      </c>
      <c r="G10" s="32" t="s">
        <v>74</v>
      </c>
      <c r="H10" s="32" t="s">
        <v>67</v>
      </c>
      <c r="I10" s="32">
        <f>'MERCADO TE'!$U$7</f>
        <v>8666.1360000000022</v>
      </c>
      <c r="J10" s="17"/>
      <c r="L10" s="30">
        <v>1</v>
      </c>
      <c r="M10" s="30">
        <v>1</v>
      </c>
      <c r="N10" s="30">
        <v>1</v>
      </c>
      <c r="O10" s="30">
        <v>1</v>
      </c>
      <c r="P10" s="30"/>
      <c r="Q10" s="30">
        <v>1</v>
      </c>
      <c r="R10" s="30"/>
      <c r="S10" s="30">
        <v>1</v>
      </c>
      <c r="T10" s="30">
        <v>1</v>
      </c>
      <c r="U10" s="30">
        <v>1</v>
      </c>
      <c r="V10" s="30"/>
      <c r="W10" s="30"/>
      <c r="X10" s="30"/>
      <c r="Y10" s="30">
        <v>1</v>
      </c>
      <c r="Z10" s="30"/>
      <c r="AA10" s="30"/>
    </row>
    <row r="11" spans="1:27" ht="11.25" customHeight="1" x14ac:dyDescent="0.3">
      <c r="A11" s="129"/>
      <c r="B11" s="129"/>
      <c r="C11" s="129"/>
      <c r="D11" s="33" t="s">
        <v>29</v>
      </c>
      <c r="E11" s="33" t="s">
        <v>25</v>
      </c>
      <c r="F11" s="33" t="s">
        <v>25</v>
      </c>
      <c r="G11" s="32" t="s">
        <v>74</v>
      </c>
      <c r="H11" s="32" t="s">
        <v>67</v>
      </c>
      <c r="I11" s="32">
        <f>'MERCADO TE'!$U$8</f>
        <v>34.769999999999996</v>
      </c>
      <c r="J11" s="17"/>
      <c r="L11" s="30">
        <f>1 - CUSTOS!$M$24</f>
        <v>1</v>
      </c>
      <c r="M11" s="30">
        <f>1 - CUSTOS!$M$24</f>
        <v>1</v>
      </c>
      <c r="N11" s="30">
        <f>1 - CUSTOS!$M$24</f>
        <v>1</v>
      </c>
      <c r="O11" s="30">
        <f>1 - CUSTOS!$M$24</f>
        <v>1</v>
      </c>
      <c r="P11" s="30"/>
      <c r="Q11" s="30">
        <f>(1 - CUSTOS!$M$24)*1</f>
        <v>1</v>
      </c>
      <c r="R11" s="30"/>
      <c r="S11" s="30">
        <f>1 - CUSTOS!$M$24</f>
        <v>1</v>
      </c>
      <c r="T11" s="30">
        <f>1 - CUSTOS!$M$24</f>
        <v>1</v>
      </c>
      <c r="U11" s="30">
        <f>1 - CUSTOS!$M$24</f>
        <v>1</v>
      </c>
      <c r="V11" s="30"/>
      <c r="W11" s="30"/>
      <c r="X11" s="30"/>
      <c r="Y11" s="30">
        <f>1 - CUSTOS!$M$24</f>
        <v>1</v>
      </c>
      <c r="Z11" s="30"/>
      <c r="AA11" s="30"/>
    </row>
    <row r="12" spans="1:27" ht="11.25" customHeight="1" x14ac:dyDescent="0.3">
      <c r="A12" s="129"/>
      <c r="B12" s="129"/>
      <c r="C12" s="129"/>
      <c r="D12" s="33" t="s">
        <v>30</v>
      </c>
      <c r="E12" s="33" t="s">
        <v>25</v>
      </c>
      <c r="F12" s="33" t="s">
        <v>25</v>
      </c>
      <c r="G12" s="32" t="s">
        <v>74</v>
      </c>
      <c r="H12" s="32" t="s">
        <v>67</v>
      </c>
      <c r="I12" s="32">
        <f>'MERCADO TE'!$U$9</f>
        <v>75.075000000000003</v>
      </c>
      <c r="J12" s="17"/>
      <c r="L12" s="30">
        <f>1 - CUSTOS!$M$25</f>
        <v>1</v>
      </c>
      <c r="M12" s="30">
        <f>1 - CUSTOS!$M$25</f>
        <v>1</v>
      </c>
      <c r="N12" s="30">
        <f>1 - CUSTOS!$M$25</f>
        <v>1</v>
      </c>
      <c r="O12" s="30">
        <f>1 - CUSTOS!$M$25</f>
        <v>1</v>
      </c>
      <c r="P12" s="30"/>
      <c r="Q12" s="30">
        <f>(1 - CUSTOS!$M$25)*1</f>
        <v>1</v>
      </c>
      <c r="R12" s="30"/>
      <c r="S12" s="30">
        <f>1 - CUSTOS!$M$25</f>
        <v>1</v>
      </c>
      <c r="T12" s="30">
        <f>1 - CUSTOS!$M$25</f>
        <v>1</v>
      </c>
      <c r="U12" s="30">
        <f>1 - CUSTOS!$M$25</f>
        <v>1</v>
      </c>
      <c r="V12" s="30"/>
      <c r="W12" s="30"/>
      <c r="X12" s="30"/>
      <c r="Y12" s="30">
        <f>1 - CUSTOS!$M$25</f>
        <v>1</v>
      </c>
      <c r="Z12" s="30"/>
      <c r="AA12" s="30"/>
    </row>
    <row r="13" spans="1:27" ht="11.25" customHeight="1" x14ac:dyDescent="0.3">
      <c r="A13" s="129"/>
      <c r="B13" s="129"/>
      <c r="C13" s="129"/>
      <c r="D13" s="33" t="s">
        <v>31</v>
      </c>
      <c r="E13" s="33" t="s">
        <v>25</v>
      </c>
      <c r="F13" s="33" t="s">
        <v>25</v>
      </c>
      <c r="G13" s="32" t="s">
        <v>74</v>
      </c>
      <c r="H13" s="32" t="s">
        <v>67</v>
      </c>
      <c r="I13" s="32">
        <f>'MERCADO TE'!$U$10</f>
        <v>64.762</v>
      </c>
      <c r="J13" s="17"/>
      <c r="L13" s="30">
        <f>1 - CUSTOS!$M$26</f>
        <v>1</v>
      </c>
      <c r="M13" s="30">
        <f>1 - CUSTOS!$M$26</f>
        <v>1</v>
      </c>
      <c r="N13" s="30">
        <f>1 - CUSTOS!$M$26</f>
        <v>1</v>
      </c>
      <c r="O13" s="30">
        <f>1 - CUSTOS!$M$26</f>
        <v>1</v>
      </c>
      <c r="P13" s="30"/>
      <c r="Q13" s="30">
        <f>(1 - CUSTOS!$M$26)*1</f>
        <v>1</v>
      </c>
      <c r="R13" s="30"/>
      <c r="S13" s="30">
        <f>1 - CUSTOS!$M$26</f>
        <v>1</v>
      </c>
      <c r="T13" s="30">
        <f>1 - CUSTOS!$M$26</f>
        <v>1</v>
      </c>
      <c r="U13" s="30">
        <f>1 - CUSTOS!$M$26</f>
        <v>1</v>
      </c>
      <c r="V13" s="30"/>
      <c r="W13" s="30"/>
      <c r="X13" s="30"/>
      <c r="Y13" s="30">
        <f>1 - CUSTOS!$M$26</f>
        <v>1</v>
      </c>
      <c r="Z13" s="30"/>
      <c r="AA13" s="30"/>
    </row>
    <row r="14" spans="1:27" ht="11.25" customHeight="1" x14ac:dyDescent="0.3">
      <c r="A14" s="129"/>
      <c r="B14" s="129"/>
      <c r="C14" s="129"/>
      <c r="D14" s="33" t="s">
        <v>32</v>
      </c>
      <c r="E14" s="33" t="s">
        <v>25</v>
      </c>
      <c r="F14" s="33" t="s">
        <v>25</v>
      </c>
      <c r="G14" s="32" t="s">
        <v>74</v>
      </c>
      <c r="H14" s="32" t="s">
        <v>67</v>
      </c>
      <c r="I14" s="32">
        <f>'MERCADO TE'!$U$11</f>
        <v>22.914000000000001</v>
      </c>
      <c r="J14" s="17"/>
      <c r="L14" s="30">
        <f>1 - CUSTOS!$M$27</f>
        <v>1</v>
      </c>
      <c r="M14" s="30">
        <f>1 - CUSTOS!$M$27</f>
        <v>1</v>
      </c>
      <c r="N14" s="30">
        <f>1 - CUSTOS!$M$27</f>
        <v>1</v>
      </c>
      <c r="O14" s="30">
        <f>1 - CUSTOS!$M$27</f>
        <v>1</v>
      </c>
      <c r="P14" s="30"/>
      <c r="Q14" s="30">
        <f>(1 - CUSTOS!$M$27)*1</f>
        <v>1</v>
      </c>
      <c r="R14" s="30"/>
      <c r="S14" s="30">
        <f>1 - CUSTOS!$M$27</f>
        <v>1</v>
      </c>
      <c r="T14" s="30">
        <f>1 - CUSTOS!$M$27</f>
        <v>1</v>
      </c>
      <c r="U14" s="30">
        <f>1 - CUSTOS!$M$27</f>
        <v>1</v>
      </c>
      <c r="V14" s="30"/>
      <c r="W14" s="30"/>
      <c r="X14" s="30"/>
      <c r="Y14" s="30">
        <f>1 - CUSTOS!$M$27</f>
        <v>1</v>
      </c>
      <c r="Z14" s="30"/>
      <c r="AA14" s="30"/>
    </row>
    <row r="15" spans="1:27" ht="11.25" customHeight="1" x14ac:dyDescent="0.3">
      <c r="A15" s="129"/>
      <c r="B15" s="129" t="s">
        <v>83</v>
      </c>
      <c r="C15" s="129" t="s">
        <v>24</v>
      </c>
      <c r="D15" s="33" t="s">
        <v>24</v>
      </c>
      <c r="E15" s="33" t="s">
        <v>25</v>
      </c>
      <c r="F15" s="33" t="s">
        <v>25</v>
      </c>
      <c r="G15" s="32" t="s">
        <v>74</v>
      </c>
      <c r="H15" s="32" t="s">
        <v>67</v>
      </c>
      <c r="I15" s="32">
        <f>'MERCADO TE'!$U$12</f>
        <v>0</v>
      </c>
      <c r="J15" s="17"/>
      <c r="L15" s="30">
        <v>1</v>
      </c>
      <c r="M15" s="30">
        <v>1</v>
      </c>
      <c r="N15" s="30">
        <v>1</v>
      </c>
      <c r="O15" s="30">
        <v>1</v>
      </c>
      <c r="P15" s="30"/>
      <c r="Q15" s="30">
        <v>1</v>
      </c>
      <c r="R15" s="30"/>
      <c r="S15" s="30">
        <v>1</v>
      </c>
      <c r="T15" s="30">
        <v>1</v>
      </c>
      <c r="U15" s="30">
        <v>1</v>
      </c>
      <c r="V15" s="30"/>
      <c r="W15" s="30"/>
      <c r="X15" s="30"/>
      <c r="Y15" s="30">
        <v>1</v>
      </c>
      <c r="Z15" s="30"/>
      <c r="AA15" s="30"/>
    </row>
    <row r="16" spans="1:27" ht="11.25" customHeight="1" x14ac:dyDescent="0.3">
      <c r="A16" s="129"/>
      <c r="B16" s="129"/>
      <c r="C16" s="129"/>
      <c r="D16" s="33" t="s">
        <v>29</v>
      </c>
      <c r="E16" s="33" t="s">
        <v>25</v>
      </c>
      <c r="F16" s="33" t="s">
        <v>25</v>
      </c>
      <c r="G16" s="32" t="s">
        <v>74</v>
      </c>
      <c r="H16" s="32" t="s">
        <v>67</v>
      </c>
      <c r="I16" s="32">
        <f>'MERCADO TE'!$U$13</f>
        <v>0</v>
      </c>
      <c r="J16" s="17"/>
      <c r="L16" s="30">
        <f>1 - CUSTOS!$M$24</f>
        <v>1</v>
      </c>
      <c r="M16" s="30">
        <f>1 - CUSTOS!$M$24</f>
        <v>1</v>
      </c>
      <c r="N16" s="30">
        <f>1 - CUSTOS!$M$24</f>
        <v>1</v>
      </c>
      <c r="O16" s="30">
        <f>1 - CUSTOS!$M$24</f>
        <v>1</v>
      </c>
      <c r="P16" s="30"/>
      <c r="Q16" s="30">
        <f>(1 - CUSTOS!$M$24)*1</f>
        <v>1</v>
      </c>
      <c r="R16" s="30"/>
      <c r="S16" s="30">
        <f>1 - CUSTOS!$M$24</f>
        <v>1</v>
      </c>
      <c r="T16" s="30">
        <f>1 - CUSTOS!$M$24</f>
        <v>1</v>
      </c>
      <c r="U16" s="30">
        <f>1 - CUSTOS!$M$24</f>
        <v>1</v>
      </c>
      <c r="V16" s="30"/>
      <c r="W16" s="30"/>
      <c r="X16" s="30"/>
      <c r="Y16" s="30">
        <f>1 - CUSTOS!$M$24</f>
        <v>1</v>
      </c>
      <c r="Z16" s="30"/>
      <c r="AA16" s="30"/>
    </row>
    <row r="17" spans="1:27" ht="11.25" customHeight="1" x14ac:dyDescent="0.3">
      <c r="A17" s="129"/>
      <c r="B17" s="129"/>
      <c r="C17" s="129"/>
      <c r="D17" s="33" t="s">
        <v>30</v>
      </c>
      <c r="E17" s="33" t="s">
        <v>25</v>
      </c>
      <c r="F17" s="33" t="s">
        <v>25</v>
      </c>
      <c r="G17" s="32" t="s">
        <v>74</v>
      </c>
      <c r="H17" s="32" t="s">
        <v>67</v>
      </c>
      <c r="I17" s="32">
        <f>'MERCADO TE'!$U$14</f>
        <v>0</v>
      </c>
      <c r="J17" s="17"/>
      <c r="L17" s="30">
        <f>1 - CUSTOS!$M$25</f>
        <v>1</v>
      </c>
      <c r="M17" s="30">
        <f>1 - CUSTOS!$M$25</f>
        <v>1</v>
      </c>
      <c r="N17" s="30">
        <f>1 - CUSTOS!$M$25</f>
        <v>1</v>
      </c>
      <c r="O17" s="30">
        <f>1 - CUSTOS!$M$25</f>
        <v>1</v>
      </c>
      <c r="P17" s="30"/>
      <c r="Q17" s="30">
        <f>(1 - CUSTOS!$M$25)*1</f>
        <v>1</v>
      </c>
      <c r="R17" s="30"/>
      <c r="S17" s="30">
        <f>1 - CUSTOS!$M$25</f>
        <v>1</v>
      </c>
      <c r="T17" s="30">
        <f>1 - CUSTOS!$M$25</f>
        <v>1</v>
      </c>
      <c r="U17" s="30">
        <f>1 - CUSTOS!$M$25</f>
        <v>1</v>
      </c>
      <c r="V17" s="30"/>
      <c r="W17" s="30"/>
      <c r="X17" s="30"/>
      <c r="Y17" s="30">
        <f>1 - CUSTOS!$M$25</f>
        <v>1</v>
      </c>
      <c r="Z17" s="30"/>
      <c r="AA17" s="30"/>
    </row>
    <row r="18" spans="1:27" ht="11.25" customHeight="1" x14ac:dyDescent="0.3">
      <c r="A18" s="129"/>
      <c r="B18" s="129"/>
      <c r="C18" s="129"/>
      <c r="D18" s="33" t="s">
        <v>31</v>
      </c>
      <c r="E18" s="33" t="s">
        <v>25</v>
      </c>
      <c r="F18" s="33" t="s">
        <v>25</v>
      </c>
      <c r="G18" s="32" t="s">
        <v>74</v>
      </c>
      <c r="H18" s="32" t="s">
        <v>67</v>
      </c>
      <c r="I18" s="32">
        <f>'MERCADO TE'!$U$15</f>
        <v>0</v>
      </c>
      <c r="J18" s="17"/>
      <c r="L18" s="30">
        <f>1 - CUSTOS!$M$26</f>
        <v>1</v>
      </c>
      <c r="M18" s="30">
        <f>1 - CUSTOS!$M$26</f>
        <v>1</v>
      </c>
      <c r="N18" s="30">
        <f>1 - CUSTOS!$M$26</f>
        <v>1</v>
      </c>
      <c r="O18" s="30">
        <f>1 - CUSTOS!$M$26</f>
        <v>1</v>
      </c>
      <c r="P18" s="30"/>
      <c r="Q18" s="30">
        <f>(1 - CUSTOS!$M$26)*1</f>
        <v>1</v>
      </c>
      <c r="R18" s="30"/>
      <c r="S18" s="30">
        <f>1 - CUSTOS!$M$26</f>
        <v>1</v>
      </c>
      <c r="T18" s="30">
        <f>1 - CUSTOS!$M$26</f>
        <v>1</v>
      </c>
      <c r="U18" s="30">
        <f>1 - CUSTOS!$M$26</f>
        <v>1</v>
      </c>
      <c r="V18" s="30"/>
      <c r="W18" s="30"/>
      <c r="X18" s="30"/>
      <c r="Y18" s="30">
        <f>1 - CUSTOS!$M$26</f>
        <v>1</v>
      </c>
      <c r="Z18" s="30"/>
      <c r="AA18" s="30"/>
    </row>
    <row r="19" spans="1:27" ht="11.25" customHeight="1" x14ac:dyDescent="0.3">
      <c r="A19" s="129"/>
      <c r="B19" s="129"/>
      <c r="C19" s="129"/>
      <c r="D19" s="33" t="s">
        <v>32</v>
      </c>
      <c r="E19" s="33" t="s">
        <v>25</v>
      </c>
      <c r="F19" s="33" t="s">
        <v>25</v>
      </c>
      <c r="G19" s="32" t="s">
        <v>74</v>
      </c>
      <c r="H19" s="32" t="s">
        <v>67</v>
      </c>
      <c r="I19" s="32">
        <f>'MERCADO TE'!$U$16</f>
        <v>0</v>
      </c>
      <c r="J19" s="17"/>
      <c r="L19" s="30">
        <f>1 - CUSTOS!$M$27</f>
        <v>1</v>
      </c>
      <c r="M19" s="30">
        <f>1 - CUSTOS!$M$27</f>
        <v>1</v>
      </c>
      <c r="N19" s="30">
        <f>1 - CUSTOS!$M$27</f>
        <v>1</v>
      </c>
      <c r="O19" s="30">
        <f>1 - CUSTOS!$M$27</f>
        <v>1</v>
      </c>
      <c r="P19" s="30"/>
      <c r="Q19" s="30">
        <f>(1 - CUSTOS!$M$27)*1</f>
        <v>1</v>
      </c>
      <c r="R19" s="30"/>
      <c r="S19" s="30">
        <f>1 - CUSTOS!$M$27</f>
        <v>1</v>
      </c>
      <c r="T19" s="30">
        <f>1 - CUSTOS!$M$27</f>
        <v>1</v>
      </c>
      <c r="U19" s="30">
        <f>1 - CUSTOS!$M$27</f>
        <v>1</v>
      </c>
      <c r="V19" s="30"/>
      <c r="W19" s="30"/>
      <c r="X19" s="30"/>
      <c r="Y19" s="30">
        <f>1 - CUSTOS!$M$27</f>
        <v>1</v>
      </c>
      <c r="Z19" s="30"/>
      <c r="AA19" s="30"/>
    </row>
    <row r="20" spans="1:27" ht="11.25" customHeight="1" x14ac:dyDescent="0.3">
      <c r="A20" s="129" t="s">
        <v>40</v>
      </c>
      <c r="B20" s="129" t="s">
        <v>66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2" t="s">
        <v>68</v>
      </c>
      <c r="H20" s="32" t="s">
        <v>67</v>
      </c>
      <c r="I20" s="32">
        <f>'MERCADO TE'!$U$17</f>
        <v>0</v>
      </c>
      <c r="J20" s="17"/>
      <c r="L20" s="30">
        <f>1 - CUSTOS!$M$28</f>
        <v>1</v>
      </c>
      <c r="M20" s="30">
        <f>1 - CUSTOS!$M$28</f>
        <v>1</v>
      </c>
      <c r="N20" s="30">
        <f>1 - CUSTOS!$M$28</f>
        <v>1</v>
      </c>
      <c r="O20" s="30">
        <f>1 - CUSTOS!$M$28</f>
        <v>1</v>
      </c>
      <c r="P20" s="30"/>
      <c r="Q20" s="30">
        <f>(1 - CUSTOS!$M$28)*1</f>
        <v>1</v>
      </c>
      <c r="R20" s="30"/>
      <c r="S20" s="30">
        <f>1 - CUSTOS!$M$28</f>
        <v>1</v>
      </c>
      <c r="T20" s="30">
        <f>1 - CUSTOS!$M$28</f>
        <v>1</v>
      </c>
      <c r="U20" s="30">
        <f>1 - CUSTOS!$M$28</f>
        <v>1</v>
      </c>
      <c r="V20" s="30"/>
      <c r="W20" s="30"/>
      <c r="X20" s="30"/>
      <c r="Y20" s="30">
        <f>1 - CUSTOS!$M$28</f>
        <v>1</v>
      </c>
      <c r="Z20" s="30"/>
      <c r="AA20" s="30"/>
    </row>
    <row r="21" spans="1:27" ht="11.25" customHeight="1" x14ac:dyDescent="0.3">
      <c r="A21" s="129"/>
      <c r="B21" s="129"/>
      <c r="C21" s="129"/>
      <c r="D21" s="129"/>
      <c r="E21" s="129"/>
      <c r="F21" s="129"/>
      <c r="G21" s="32" t="s">
        <v>80</v>
      </c>
      <c r="H21" s="32" t="s">
        <v>67</v>
      </c>
      <c r="I21" s="32">
        <f>'MERCADO TE'!$U$18</f>
        <v>0</v>
      </c>
      <c r="J21" s="17"/>
      <c r="L21" s="30">
        <f>1 - CUSTOS!$M$28</f>
        <v>1</v>
      </c>
      <c r="M21" s="30">
        <f>1 - CUSTOS!$M$28</f>
        <v>1</v>
      </c>
      <c r="N21" s="30">
        <f>1 - CUSTOS!$M$28</f>
        <v>1</v>
      </c>
      <c r="O21" s="30">
        <f>1 - CUSTOS!$M$28</f>
        <v>1</v>
      </c>
      <c r="P21" s="30"/>
      <c r="Q21" s="30">
        <f>(1 - CUSTOS!$M$28)*1</f>
        <v>1</v>
      </c>
      <c r="R21" s="30"/>
      <c r="S21" s="30">
        <f>1 - CUSTOS!$M$28</f>
        <v>1</v>
      </c>
      <c r="T21" s="30">
        <f>1 - CUSTOS!$M$28</f>
        <v>1</v>
      </c>
      <c r="U21" s="30">
        <f>1 - CUSTOS!$M$28</f>
        <v>1</v>
      </c>
      <c r="V21" s="30"/>
      <c r="W21" s="30"/>
      <c r="X21" s="30"/>
      <c r="Y21" s="30">
        <f>1 - CUSTOS!$M$28</f>
        <v>1</v>
      </c>
      <c r="Z21" s="30"/>
      <c r="AA21" s="30"/>
    </row>
    <row r="22" spans="1:27" ht="11.25" customHeight="1" x14ac:dyDescent="0.3">
      <c r="A22" s="129"/>
      <c r="B22" s="129"/>
      <c r="C22" s="129"/>
      <c r="D22" s="129"/>
      <c r="E22" s="129"/>
      <c r="F22" s="129"/>
      <c r="G22" s="32" t="s">
        <v>69</v>
      </c>
      <c r="H22" s="32" t="s">
        <v>67</v>
      </c>
      <c r="I22" s="32">
        <f>'MERCADO TE'!$U$19</f>
        <v>0</v>
      </c>
      <c r="J22" s="17"/>
      <c r="L22" s="30">
        <f>1 - CUSTOS!$M$28</f>
        <v>1</v>
      </c>
      <c r="M22" s="30">
        <f>1 - CUSTOS!$M$28</f>
        <v>1</v>
      </c>
      <c r="N22" s="30">
        <f>1 - CUSTOS!$M$28</f>
        <v>1</v>
      </c>
      <c r="O22" s="30">
        <f>1 - CUSTOS!$M$28</f>
        <v>1</v>
      </c>
      <c r="P22" s="30"/>
      <c r="Q22" s="30">
        <f>(1 - CUSTOS!$M$28)*1</f>
        <v>1</v>
      </c>
      <c r="R22" s="30"/>
      <c r="S22" s="30">
        <f>1 - CUSTOS!$M$28</f>
        <v>1</v>
      </c>
      <c r="T22" s="30">
        <f>1 - CUSTOS!$M$28</f>
        <v>1</v>
      </c>
      <c r="U22" s="30">
        <f>1 - CUSTOS!$M$28</f>
        <v>1</v>
      </c>
      <c r="V22" s="30"/>
      <c r="W22" s="30"/>
      <c r="X22" s="30"/>
      <c r="Y22" s="30">
        <f>1 - CUSTOS!$M$28</f>
        <v>1</v>
      </c>
      <c r="Z22" s="30"/>
      <c r="AA22" s="30"/>
    </row>
    <row r="23" spans="1:27" ht="11.25" customHeight="1" x14ac:dyDescent="0.3">
      <c r="A23" s="129"/>
      <c r="B23" s="33" t="s">
        <v>81</v>
      </c>
      <c r="C23" s="33" t="s">
        <v>41</v>
      </c>
      <c r="D23" s="33" t="s">
        <v>25</v>
      </c>
      <c r="E23" s="33" t="s">
        <v>25</v>
      </c>
      <c r="F23" s="33" t="s">
        <v>25</v>
      </c>
      <c r="G23" s="32" t="s">
        <v>74</v>
      </c>
      <c r="H23" s="32" t="s">
        <v>67</v>
      </c>
      <c r="I23" s="32">
        <f>'MERCADO TE'!$U$20</f>
        <v>1516.1360000000004</v>
      </c>
      <c r="J23" s="17"/>
      <c r="L23" s="30">
        <f>1 - CUSTOS!$M$28</f>
        <v>1</v>
      </c>
      <c r="M23" s="30">
        <f>1 - CUSTOS!$M$28</f>
        <v>1</v>
      </c>
      <c r="N23" s="30">
        <f>1 - CUSTOS!$M$28</f>
        <v>1</v>
      </c>
      <c r="O23" s="30">
        <f>1 - CUSTOS!$M$28</f>
        <v>1</v>
      </c>
      <c r="P23" s="30"/>
      <c r="Q23" s="30">
        <f>(1 - CUSTOS!$M$28)*1</f>
        <v>1</v>
      </c>
      <c r="R23" s="30"/>
      <c r="S23" s="30">
        <f>1 - CUSTOS!$M$28</f>
        <v>1</v>
      </c>
      <c r="T23" s="30">
        <f>1 - CUSTOS!$M$28</f>
        <v>1</v>
      </c>
      <c r="U23" s="30">
        <f>1 - CUSTOS!$M$28</f>
        <v>1</v>
      </c>
      <c r="V23" s="30"/>
      <c r="W23" s="30"/>
      <c r="X23" s="30"/>
      <c r="Y23" s="30">
        <f>1 - CUSTOS!$M$28</f>
        <v>1</v>
      </c>
      <c r="Z23" s="30"/>
      <c r="AA23" s="30"/>
    </row>
    <row r="24" spans="1:27" ht="11.25" customHeight="1" x14ac:dyDescent="0.3">
      <c r="A24" s="129"/>
      <c r="B24" s="129" t="s">
        <v>66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2" t="s">
        <v>68</v>
      </c>
      <c r="H24" s="32" t="s">
        <v>67</v>
      </c>
      <c r="I24" s="32">
        <f>'MERCADO TE'!$U$21</f>
        <v>0</v>
      </c>
      <c r="J24" s="17"/>
      <c r="L24" s="30">
        <f>1 - CUSTOS!$M$29</f>
        <v>1</v>
      </c>
      <c r="M24" s="30">
        <f>1 - CUSTOS!$M$29</f>
        <v>1</v>
      </c>
      <c r="N24" s="30">
        <f>1 - CUSTOS!$M$29</f>
        <v>1</v>
      </c>
      <c r="O24" s="30">
        <f>1 - CUSTOS!$M$29</f>
        <v>1</v>
      </c>
      <c r="P24" s="30"/>
      <c r="Q24" s="30">
        <f>(1 - CUSTOS!$M$29)*1</f>
        <v>1</v>
      </c>
      <c r="R24" s="30"/>
      <c r="S24" s="30">
        <f>1 - CUSTOS!$M$29</f>
        <v>1</v>
      </c>
      <c r="T24" s="30">
        <f>1 - CUSTOS!$M$29</f>
        <v>1</v>
      </c>
      <c r="U24" s="30">
        <f>1 - CUSTOS!$M$29</f>
        <v>1</v>
      </c>
      <c r="V24" s="30"/>
      <c r="W24" s="30"/>
      <c r="X24" s="30"/>
      <c r="Y24" s="30">
        <f>1 - CUSTOS!$M$29</f>
        <v>1</v>
      </c>
      <c r="Z24" s="30"/>
      <c r="AA24" s="30"/>
    </row>
    <row r="25" spans="1:27" ht="11.25" customHeight="1" x14ac:dyDescent="0.3">
      <c r="A25" s="129"/>
      <c r="B25" s="129"/>
      <c r="C25" s="129"/>
      <c r="D25" s="129"/>
      <c r="E25" s="129"/>
      <c r="F25" s="129"/>
      <c r="G25" s="32" t="s">
        <v>80</v>
      </c>
      <c r="H25" s="32" t="s">
        <v>67</v>
      </c>
      <c r="I25" s="32">
        <f>'MERCADO TE'!$U$22</f>
        <v>0</v>
      </c>
      <c r="J25" s="17"/>
      <c r="L25" s="30">
        <f>1 - CUSTOS!$M$29</f>
        <v>1</v>
      </c>
      <c r="M25" s="30">
        <f>1 - CUSTOS!$M$29</f>
        <v>1</v>
      </c>
      <c r="N25" s="30">
        <f>1 - CUSTOS!$M$29</f>
        <v>1</v>
      </c>
      <c r="O25" s="30">
        <f>1 - CUSTOS!$M$29</f>
        <v>1</v>
      </c>
      <c r="P25" s="30"/>
      <c r="Q25" s="30">
        <f>(1 - CUSTOS!$M$29)*1</f>
        <v>1</v>
      </c>
      <c r="R25" s="30"/>
      <c r="S25" s="30">
        <f>1 - CUSTOS!$M$29</f>
        <v>1</v>
      </c>
      <c r="T25" s="30">
        <f>1 - CUSTOS!$M$29</f>
        <v>1</v>
      </c>
      <c r="U25" s="30">
        <f>1 - CUSTOS!$M$29</f>
        <v>1</v>
      </c>
      <c r="V25" s="30"/>
      <c r="W25" s="30"/>
      <c r="X25" s="30"/>
      <c r="Y25" s="30">
        <f>1 - CUSTOS!$M$29</f>
        <v>1</v>
      </c>
      <c r="Z25" s="30"/>
      <c r="AA25" s="30"/>
    </row>
    <row r="26" spans="1:27" ht="11.25" customHeight="1" x14ac:dyDescent="0.3">
      <c r="A26" s="129"/>
      <c r="B26" s="129"/>
      <c r="C26" s="129"/>
      <c r="D26" s="129"/>
      <c r="E26" s="129"/>
      <c r="F26" s="129"/>
      <c r="G26" s="32" t="s">
        <v>69</v>
      </c>
      <c r="H26" s="32" t="s">
        <v>67</v>
      </c>
      <c r="I26" s="32">
        <f>'MERCADO TE'!$U$23</f>
        <v>0</v>
      </c>
      <c r="J26" s="17"/>
      <c r="L26" s="30">
        <f>1 - CUSTOS!$M$29</f>
        <v>1</v>
      </c>
      <c r="M26" s="30">
        <f>1 - CUSTOS!$M$29</f>
        <v>1</v>
      </c>
      <c r="N26" s="30">
        <f>1 - CUSTOS!$M$29</f>
        <v>1</v>
      </c>
      <c r="O26" s="30">
        <f>1 - CUSTOS!$M$29</f>
        <v>1</v>
      </c>
      <c r="P26" s="30"/>
      <c r="Q26" s="30">
        <f>(1 - CUSTOS!$M$29)*1</f>
        <v>1</v>
      </c>
      <c r="R26" s="30"/>
      <c r="S26" s="30">
        <f>1 - CUSTOS!$M$29</f>
        <v>1</v>
      </c>
      <c r="T26" s="30">
        <f>1 - CUSTOS!$M$29</f>
        <v>1</v>
      </c>
      <c r="U26" s="30">
        <f>1 - CUSTOS!$M$29</f>
        <v>1</v>
      </c>
      <c r="V26" s="30"/>
      <c r="W26" s="30"/>
      <c r="X26" s="30"/>
      <c r="Y26" s="30">
        <f>1 - CUSTOS!$M$29</f>
        <v>1</v>
      </c>
      <c r="Z26" s="30"/>
      <c r="AA26" s="30"/>
    </row>
    <row r="27" spans="1:27" ht="11.25" customHeight="1" x14ac:dyDescent="0.3">
      <c r="A27" s="129"/>
      <c r="B27" s="33" t="s">
        <v>81</v>
      </c>
      <c r="C27" s="33" t="s">
        <v>41</v>
      </c>
      <c r="D27" s="33" t="s">
        <v>85</v>
      </c>
      <c r="E27" s="33" t="s">
        <v>25</v>
      </c>
      <c r="F27" s="33" t="s">
        <v>25</v>
      </c>
      <c r="G27" s="32" t="s">
        <v>74</v>
      </c>
      <c r="H27" s="32" t="s">
        <v>67</v>
      </c>
      <c r="I27" s="32">
        <f>'MERCADO TE'!$U$24</f>
        <v>0</v>
      </c>
      <c r="J27" s="17"/>
      <c r="L27" s="30">
        <f>1 - CUSTOS!$M$29</f>
        <v>1</v>
      </c>
      <c r="M27" s="30">
        <f>1 - CUSTOS!$M$29</f>
        <v>1</v>
      </c>
      <c r="N27" s="30">
        <f>1 - CUSTOS!$M$29</f>
        <v>1</v>
      </c>
      <c r="O27" s="30">
        <f>1 - CUSTOS!$M$29</f>
        <v>1</v>
      </c>
      <c r="P27" s="30"/>
      <c r="Q27" s="30">
        <f>(1 - CUSTOS!$M$29)*1</f>
        <v>1</v>
      </c>
      <c r="R27" s="30"/>
      <c r="S27" s="30">
        <f>1 - CUSTOS!$M$29</f>
        <v>1</v>
      </c>
      <c r="T27" s="30">
        <f>1 - CUSTOS!$M$29</f>
        <v>1</v>
      </c>
      <c r="U27" s="30">
        <f>1 - CUSTOS!$M$29</f>
        <v>1</v>
      </c>
      <c r="V27" s="30"/>
      <c r="W27" s="30"/>
      <c r="X27" s="30"/>
      <c r="Y27" s="30">
        <f>1 - CUSTOS!$M$29</f>
        <v>1</v>
      </c>
      <c r="Z27" s="30"/>
      <c r="AA27" s="30"/>
    </row>
    <row r="28" spans="1:27" ht="11.25" customHeight="1" x14ac:dyDescent="0.3">
      <c r="A28" s="129"/>
      <c r="B28" s="129" t="s">
        <v>66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2" t="s">
        <v>68</v>
      </c>
      <c r="H28" s="32" t="s">
        <v>67</v>
      </c>
      <c r="I28" s="32">
        <f>'MERCADO TE'!$U$25</f>
        <v>0</v>
      </c>
      <c r="J28" s="17"/>
      <c r="L28" s="30">
        <f>1 - CUSTOS!$M$30</f>
        <v>1</v>
      </c>
      <c r="M28" s="30">
        <f>1 - CUSTOS!$M$30</f>
        <v>1</v>
      </c>
      <c r="N28" s="30">
        <f>1 - CUSTOS!$M$30</f>
        <v>1</v>
      </c>
      <c r="O28" s="30">
        <f>1 - CUSTOS!$M$30</f>
        <v>1</v>
      </c>
      <c r="P28" s="30"/>
      <c r="Q28" s="30">
        <f>(1 - CUSTOS!$M$30)*1</f>
        <v>1</v>
      </c>
      <c r="R28" s="30"/>
      <c r="S28" s="30">
        <f>1 - CUSTOS!$M$30</f>
        <v>1</v>
      </c>
      <c r="T28" s="30">
        <f>1 - CUSTOS!$M$30</f>
        <v>1</v>
      </c>
      <c r="U28" s="30">
        <f>1 - CUSTOS!$M$30</f>
        <v>1</v>
      </c>
      <c r="V28" s="30"/>
      <c r="W28" s="30"/>
      <c r="X28" s="30"/>
      <c r="Y28" s="30">
        <f>1 - CUSTOS!$M$30</f>
        <v>1</v>
      </c>
      <c r="Z28" s="30"/>
      <c r="AA28" s="30"/>
    </row>
    <row r="29" spans="1:27" ht="11.25" customHeight="1" x14ac:dyDescent="0.3">
      <c r="A29" s="129"/>
      <c r="B29" s="129"/>
      <c r="C29" s="129"/>
      <c r="D29" s="129"/>
      <c r="E29" s="129"/>
      <c r="F29" s="129"/>
      <c r="G29" s="32" t="s">
        <v>80</v>
      </c>
      <c r="H29" s="32" t="s">
        <v>67</v>
      </c>
      <c r="I29" s="32">
        <f>'MERCADO TE'!$U$26</f>
        <v>0</v>
      </c>
      <c r="J29" s="17"/>
      <c r="L29" s="30">
        <f>1 - CUSTOS!$M$30</f>
        <v>1</v>
      </c>
      <c r="M29" s="30">
        <f>1 - CUSTOS!$M$30</f>
        <v>1</v>
      </c>
      <c r="N29" s="30">
        <f>1 - CUSTOS!$M$30</f>
        <v>1</v>
      </c>
      <c r="O29" s="30">
        <f>1 - CUSTOS!$M$30</f>
        <v>1</v>
      </c>
      <c r="P29" s="30"/>
      <c r="Q29" s="30">
        <f>(1 - CUSTOS!$M$30)*1</f>
        <v>1</v>
      </c>
      <c r="R29" s="30"/>
      <c r="S29" s="30">
        <f>1 - CUSTOS!$M$30</f>
        <v>1</v>
      </c>
      <c r="T29" s="30">
        <f>1 - CUSTOS!$M$30</f>
        <v>1</v>
      </c>
      <c r="U29" s="30">
        <f>1 - CUSTOS!$M$30</f>
        <v>1</v>
      </c>
      <c r="V29" s="30"/>
      <c r="W29" s="30"/>
      <c r="X29" s="30"/>
      <c r="Y29" s="30">
        <f>1 - CUSTOS!$M$30</f>
        <v>1</v>
      </c>
      <c r="Z29" s="30"/>
      <c r="AA29" s="30"/>
    </row>
    <row r="30" spans="1:27" ht="11.25" customHeight="1" x14ac:dyDescent="0.3">
      <c r="A30" s="129"/>
      <c r="B30" s="129"/>
      <c r="C30" s="129"/>
      <c r="D30" s="129"/>
      <c r="E30" s="129"/>
      <c r="F30" s="129"/>
      <c r="G30" s="32" t="s">
        <v>69</v>
      </c>
      <c r="H30" s="32" t="s">
        <v>67</v>
      </c>
      <c r="I30" s="32">
        <f>'MERCADO TE'!$U$27</f>
        <v>0</v>
      </c>
      <c r="J30" s="17"/>
      <c r="L30" s="30">
        <f>1 - CUSTOS!$M$30</f>
        <v>1</v>
      </c>
      <c r="M30" s="30">
        <f>1 - CUSTOS!$M$30</f>
        <v>1</v>
      </c>
      <c r="N30" s="30">
        <f>1 - CUSTOS!$M$30</f>
        <v>1</v>
      </c>
      <c r="O30" s="30">
        <f>1 - CUSTOS!$M$30</f>
        <v>1</v>
      </c>
      <c r="P30" s="30"/>
      <c r="Q30" s="30">
        <f>(1 - CUSTOS!$M$30)*1</f>
        <v>1</v>
      </c>
      <c r="R30" s="30"/>
      <c r="S30" s="30">
        <f>1 - CUSTOS!$M$30</f>
        <v>1</v>
      </c>
      <c r="T30" s="30">
        <f>1 - CUSTOS!$M$30</f>
        <v>1</v>
      </c>
      <c r="U30" s="30">
        <f>1 - CUSTOS!$M$30</f>
        <v>1</v>
      </c>
      <c r="V30" s="30"/>
      <c r="W30" s="30"/>
      <c r="X30" s="30"/>
      <c r="Y30" s="30">
        <f>1 - CUSTOS!$M$30</f>
        <v>1</v>
      </c>
      <c r="Z30" s="30"/>
      <c r="AA30" s="30"/>
    </row>
    <row r="31" spans="1:27" ht="11.25" customHeight="1" x14ac:dyDescent="0.3">
      <c r="A31" s="129"/>
      <c r="B31" s="33" t="s">
        <v>81</v>
      </c>
      <c r="C31" s="33" t="s">
        <v>41</v>
      </c>
      <c r="D31" s="33" t="s">
        <v>86</v>
      </c>
      <c r="E31" s="33" t="s">
        <v>25</v>
      </c>
      <c r="F31" s="33" t="s">
        <v>25</v>
      </c>
      <c r="G31" s="32" t="s">
        <v>74</v>
      </c>
      <c r="H31" s="32" t="s">
        <v>67</v>
      </c>
      <c r="I31" s="32">
        <f>'MERCADO TE'!$U$28</f>
        <v>0</v>
      </c>
      <c r="J31" s="17"/>
      <c r="L31" s="30">
        <f>1 - CUSTOS!$M$30</f>
        <v>1</v>
      </c>
      <c r="M31" s="30">
        <f>1 - CUSTOS!$M$30</f>
        <v>1</v>
      </c>
      <c r="N31" s="30">
        <f>1 - CUSTOS!$M$30</f>
        <v>1</v>
      </c>
      <c r="O31" s="30">
        <f>1 - CUSTOS!$M$30</f>
        <v>1</v>
      </c>
      <c r="P31" s="30"/>
      <c r="Q31" s="30">
        <f>(1 - CUSTOS!$M$30)*1</f>
        <v>1</v>
      </c>
      <c r="R31" s="30"/>
      <c r="S31" s="30">
        <f>1 - CUSTOS!$M$30</f>
        <v>1</v>
      </c>
      <c r="T31" s="30">
        <f>1 - CUSTOS!$M$30</f>
        <v>1</v>
      </c>
      <c r="U31" s="30">
        <f>1 - CUSTOS!$M$30</f>
        <v>1</v>
      </c>
      <c r="V31" s="30"/>
      <c r="W31" s="30"/>
      <c r="X31" s="30"/>
      <c r="Y31" s="30">
        <f>1 - CUSTOS!$M$30</f>
        <v>1</v>
      </c>
      <c r="Z31" s="30"/>
      <c r="AA31" s="30"/>
    </row>
    <row r="32" spans="1:27" ht="11.25" customHeight="1" x14ac:dyDescent="0.3">
      <c r="A32" s="129"/>
      <c r="B32" s="129" t="s">
        <v>83</v>
      </c>
      <c r="C32" s="129" t="s">
        <v>41</v>
      </c>
      <c r="D32" s="33" t="s">
        <v>25</v>
      </c>
      <c r="E32" s="33" t="s">
        <v>25</v>
      </c>
      <c r="F32" s="33" t="s">
        <v>25</v>
      </c>
      <c r="G32" s="32" t="s">
        <v>74</v>
      </c>
      <c r="H32" s="32" t="s">
        <v>67</v>
      </c>
      <c r="I32" s="32">
        <f>'MERCADO TE'!$U$29</f>
        <v>0</v>
      </c>
      <c r="J32" s="17"/>
      <c r="L32" s="30">
        <f>1 - CUSTOS!$M$28</f>
        <v>1</v>
      </c>
      <c r="M32" s="30">
        <f>1 - CUSTOS!$M$28</f>
        <v>1</v>
      </c>
      <c r="N32" s="30">
        <f>1 - CUSTOS!$M$28</f>
        <v>1</v>
      </c>
      <c r="O32" s="30">
        <f>1 - CUSTOS!$M$28</f>
        <v>1</v>
      </c>
      <c r="P32" s="30"/>
      <c r="Q32" s="30">
        <f>(1 - CUSTOS!$M$28)*1</f>
        <v>1</v>
      </c>
      <c r="R32" s="30"/>
      <c r="S32" s="30">
        <f>1 - CUSTOS!$M$28</f>
        <v>1</v>
      </c>
      <c r="T32" s="30">
        <f>1 - CUSTOS!$M$28</f>
        <v>1</v>
      </c>
      <c r="U32" s="30">
        <f>1 - CUSTOS!$M$28</f>
        <v>1</v>
      </c>
      <c r="V32" s="30"/>
      <c r="W32" s="30"/>
      <c r="X32" s="30"/>
      <c r="Y32" s="30">
        <f>1 - CUSTOS!$M$28</f>
        <v>1</v>
      </c>
      <c r="Z32" s="30"/>
      <c r="AA32" s="30"/>
    </row>
    <row r="33" spans="1:27" ht="11.25" customHeight="1" x14ac:dyDescent="0.3">
      <c r="A33" s="129"/>
      <c r="B33" s="129"/>
      <c r="C33" s="129"/>
      <c r="D33" s="33" t="s">
        <v>85</v>
      </c>
      <c r="E33" s="33" t="s">
        <v>25</v>
      </c>
      <c r="F33" s="33" t="s">
        <v>25</v>
      </c>
      <c r="G33" s="32" t="s">
        <v>74</v>
      </c>
      <c r="H33" s="32" t="s">
        <v>67</v>
      </c>
      <c r="I33" s="32">
        <f>'MERCADO TE'!$U$30</f>
        <v>0</v>
      </c>
      <c r="J33" s="17"/>
      <c r="L33" s="30">
        <f>1 - CUSTOS!$M$29</f>
        <v>1</v>
      </c>
      <c r="M33" s="30">
        <f>1 - CUSTOS!$M$29</f>
        <v>1</v>
      </c>
      <c r="N33" s="30">
        <f>1 - CUSTOS!$M$29</f>
        <v>1</v>
      </c>
      <c r="O33" s="30">
        <f>1 - CUSTOS!$M$29</f>
        <v>1</v>
      </c>
      <c r="P33" s="30"/>
      <c r="Q33" s="30">
        <f>(1 - CUSTOS!$M$29)*1</f>
        <v>1</v>
      </c>
      <c r="R33" s="30"/>
      <c r="S33" s="30">
        <f>1 - CUSTOS!$M$29</f>
        <v>1</v>
      </c>
      <c r="T33" s="30">
        <f>1 - CUSTOS!$M$29</f>
        <v>1</v>
      </c>
      <c r="U33" s="30">
        <f>1 - CUSTOS!$M$29</f>
        <v>1</v>
      </c>
      <c r="V33" s="30"/>
      <c r="W33" s="30"/>
      <c r="X33" s="30"/>
      <c r="Y33" s="30">
        <f>1 - CUSTOS!$M$29</f>
        <v>1</v>
      </c>
      <c r="Z33" s="30"/>
      <c r="AA33" s="30"/>
    </row>
    <row r="34" spans="1:27" ht="11.25" customHeight="1" x14ac:dyDescent="0.3">
      <c r="A34" s="129"/>
      <c r="B34" s="129"/>
      <c r="C34" s="129"/>
      <c r="D34" s="33" t="s">
        <v>86</v>
      </c>
      <c r="E34" s="33" t="s">
        <v>25</v>
      </c>
      <c r="F34" s="33" t="s">
        <v>25</v>
      </c>
      <c r="G34" s="32" t="s">
        <v>74</v>
      </c>
      <c r="H34" s="32" t="s">
        <v>67</v>
      </c>
      <c r="I34" s="32">
        <f>'MERCADO TE'!$U$31</f>
        <v>0</v>
      </c>
      <c r="J34" s="17"/>
      <c r="L34" s="30">
        <f>1 - CUSTOS!$M$30</f>
        <v>1</v>
      </c>
      <c r="M34" s="30">
        <f>1 - CUSTOS!$M$30</f>
        <v>1</v>
      </c>
      <c r="N34" s="30">
        <f>1 - CUSTOS!$M$30</f>
        <v>1</v>
      </c>
      <c r="O34" s="30">
        <f>1 - CUSTOS!$M$30</f>
        <v>1</v>
      </c>
      <c r="P34" s="30"/>
      <c r="Q34" s="30">
        <f>(1 - CUSTOS!$M$30)*1</f>
        <v>1</v>
      </c>
      <c r="R34" s="30"/>
      <c r="S34" s="30">
        <f>1 - CUSTOS!$M$30</f>
        <v>1</v>
      </c>
      <c r="T34" s="30">
        <f>1 - CUSTOS!$M$30</f>
        <v>1</v>
      </c>
      <c r="U34" s="30">
        <f>1 - CUSTOS!$M$30</f>
        <v>1</v>
      </c>
      <c r="V34" s="30"/>
      <c r="W34" s="30"/>
      <c r="X34" s="30"/>
      <c r="Y34" s="30">
        <f>1 - CUSTOS!$M$30</f>
        <v>1</v>
      </c>
      <c r="Z34" s="30"/>
      <c r="AA34" s="30"/>
    </row>
    <row r="35" spans="1:27" ht="11.25" customHeight="1" x14ac:dyDescent="0.3">
      <c r="A35" s="129" t="s">
        <v>33</v>
      </c>
      <c r="B35" s="129" t="s">
        <v>66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2" t="s">
        <v>68</v>
      </c>
      <c r="H35" s="32" t="s">
        <v>67</v>
      </c>
      <c r="I35" s="32">
        <f>'MERCADO TE'!$U$32</f>
        <v>0</v>
      </c>
      <c r="J35" s="17"/>
      <c r="L35" s="30">
        <f>1 - CUSTOS!$M$31</f>
        <v>1</v>
      </c>
      <c r="M35" s="30">
        <f>1 - CUSTOS!$M$31</f>
        <v>1</v>
      </c>
      <c r="N35" s="30">
        <f>1 - CUSTOS!$M$31</f>
        <v>1</v>
      </c>
      <c r="O35" s="30">
        <f>1 - CUSTOS!$M$31</f>
        <v>1</v>
      </c>
      <c r="P35" s="30"/>
      <c r="Q35" s="30">
        <f>(1 - CUSTOS!$M$31)*1</f>
        <v>1</v>
      </c>
      <c r="R35" s="30"/>
      <c r="S35" s="30">
        <f>1 - CUSTOS!$M$31</f>
        <v>1</v>
      </c>
      <c r="T35" s="30">
        <f>1 - CUSTOS!$M$31</f>
        <v>1</v>
      </c>
      <c r="U35" s="30">
        <f>1 - CUSTOS!$M$31</f>
        <v>1</v>
      </c>
      <c r="V35" s="30"/>
      <c r="W35" s="30"/>
      <c r="X35" s="30"/>
      <c r="Y35" s="30">
        <f>1 - CUSTOS!$M$31</f>
        <v>1</v>
      </c>
      <c r="Z35" s="30"/>
      <c r="AA35" s="30"/>
    </row>
    <row r="36" spans="1:27" ht="11.25" customHeight="1" x14ac:dyDescent="0.3">
      <c r="A36" s="129"/>
      <c r="B36" s="129"/>
      <c r="C36" s="129"/>
      <c r="D36" s="129"/>
      <c r="E36" s="129"/>
      <c r="F36" s="129"/>
      <c r="G36" s="32" t="s">
        <v>80</v>
      </c>
      <c r="H36" s="32" t="s">
        <v>67</v>
      </c>
      <c r="I36" s="32">
        <f>'MERCADO TE'!$U$33</f>
        <v>0</v>
      </c>
      <c r="J36" s="17"/>
      <c r="L36" s="30">
        <f>1 - CUSTOS!$M$31</f>
        <v>1</v>
      </c>
      <c r="M36" s="30">
        <f>1 - CUSTOS!$M$31</f>
        <v>1</v>
      </c>
      <c r="N36" s="30">
        <f>1 - CUSTOS!$M$31</f>
        <v>1</v>
      </c>
      <c r="O36" s="30">
        <f>1 - CUSTOS!$M$31</f>
        <v>1</v>
      </c>
      <c r="P36" s="30"/>
      <c r="Q36" s="30">
        <f>(1 - CUSTOS!$M$31)*1</f>
        <v>1</v>
      </c>
      <c r="R36" s="30"/>
      <c r="S36" s="30">
        <f>1 - CUSTOS!$M$31</f>
        <v>1</v>
      </c>
      <c r="T36" s="30">
        <f>1 - CUSTOS!$M$31</f>
        <v>1</v>
      </c>
      <c r="U36" s="30">
        <f>1 - CUSTOS!$M$31</f>
        <v>1</v>
      </c>
      <c r="V36" s="30"/>
      <c r="W36" s="30"/>
      <c r="X36" s="30"/>
      <c r="Y36" s="30">
        <f>1 - CUSTOS!$M$31</f>
        <v>1</v>
      </c>
      <c r="Z36" s="30"/>
      <c r="AA36" s="30"/>
    </row>
    <row r="37" spans="1:27" ht="11.25" customHeight="1" x14ac:dyDescent="0.3">
      <c r="A37" s="129"/>
      <c r="B37" s="129"/>
      <c r="C37" s="129"/>
      <c r="D37" s="129"/>
      <c r="E37" s="129"/>
      <c r="F37" s="129"/>
      <c r="G37" s="32" t="s">
        <v>69</v>
      </c>
      <c r="H37" s="32" t="s">
        <v>67</v>
      </c>
      <c r="I37" s="32">
        <f>'MERCADO TE'!$U$34</f>
        <v>0</v>
      </c>
      <c r="J37" s="17"/>
      <c r="L37" s="30">
        <f>1 - CUSTOS!$M$31</f>
        <v>1</v>
      </c>
      <c r="M37" s="30">
        <f>1 - CUSTOS!$M$31</f>
        <v>1</v>
      </c>
      <c r="N37" s="30">
        <f>1 - CUSTOS!$M$31</f>
        <v>1</v>
      </c>
      <c r="O37" s="30">
        <f>1 - CUSTOS!$M$31</f>
        <v>1</v>
      </c>
      <c r="P37" s="30"/>
      <c r="Q37" s="30">
        <f>(1 - CUSTOS!$M$31)*1</f>
        <v>1</v>
      </c>
      <c r="R37" s="30"/>
      <c r="S37" s="30">
        <f>1 - CUSTOS!$M$31</f>
        <v>1</v>
      </c>
      <c r="T37" s="30">
        <f>1 - CUSTOS!$M$31</f>
        <v>1</v>
      </c>
      <c r="U37" s="30">
        <f>1 - CUSTOS!$M$31</f>
        <v>1</v>
      </c>
      <c r="V37" s="30"/>
      <c r="W37" s="30"/>
      <c r="X37" s="30"/>
      <c r="Y37" s="30">
        <f>1 - CUSTOS!$M$31</f>
        <v>1</v>
      </c>
      <c r="Z37" s="30"/>
      <c r="AA37" s="30"/>
    </row>
    <row r="38" spans="1:27" ht="11.25" customHeight="1" x14ac:dyDescent="0.3">
      <c r="A38" s="129"/>
      <c r="B38" s="33" t="s">
        <v>81</v>
      </c>
      <c r="C38" s="33" t="s">
        <v>25</v>
      </c>
      <c r="D38" s="33" t="s">
        <v>25</v>
      </c>
      <c r="E38" s="33" t="s">
        <v>25</v>
      </c>
      <c r="F38" s="33" t="s">
        <v>25</v>
      </c>
      <c r="G38" s="32" t="s">
        <v>74</v>
      </c>
      <c r="H38" s="32" t="s">
        <v>67</v>
      </c>
      <c r="I38" s="32">
        <f>'MERCADO TE'!$U$35</f>
        <v>6518.4639999999999</v>
      </c>
      <c r="J38" s="17"/>
      <c r="L38" s="30">
        <f>1 - CUSTOS!$M$31</f>
        <v>1</v>
      </c>
      <c r="M38" s="30">
        <f>1 - CUSTOS!$M$31</f>
        <v>1</v>
      </c>
      <c r="N38" s="30">
        <f>1 - CUSTOS!$M$31</f>
        <v>1</v>
      </c>
      <c r="O38" s="30">
        <f>1 - CUSTOS!$M$31</f>
        <v>1</v>
      </c>
      <c r="P38" s="30"/>
      <c r="Q38" s="30">
        <f>(1 - CUSTOS!$M$31)*1</f>
        <v>1</v>
      </c>
      <c r="R38" s="30"/>
      <c r="S38" s="30">
        <f>1 - CUSTOS!$M$31</f>
        <v>1</v>
      </c>
      <c r="T38" s="30">
        <f>1 - CUSTOS!$M$31</f>
        <v>1</v>
      </c>
      <c r="U38" s="30">
        <f>1 - CUSTOS!$M$31</f>
        <v>1</v>
      </c>
      <c r="V38" s="30"/>
      <c r="W38" s="30"/>
      <c r="X38" s="30"/>
      <c r="Y38" s="30">
        <f>1 - CUSTOS!$M$31</f>
        <v>1</v>
      </c>
      <c r="Z38" s="30"/>
      <c r="AA38" s="30"/>
    </row>
    <row r="39" spans="1:27" ht="11.25" customHeight="1" x14ac:dyDescent="0.3">
      <c r="A39" s="129"/>
      <c r="B39" s="33" t="s">
        <v>83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74</v>
      </c>
      <c r="H39" s="32" t="s">
        <v>67</v>
      </c>
      <c r="I39" s="32">
        <f>'MERCADO TE'!$U$36</f>
        <v>0</v>
      </c>
      <c r="J39" s="17"/>
      <c r="L39" s="30">
        <f>1 - CUSTOS!$M$31</f>
        <v>1</v>
      </c>
      <c r="M39" s="30">
        <f>1 - CUSTOS!$M$31</f>
        <v>1</v>
      </c>
      <c r="N39" s="30">
        <f>1 - CUSTOS!$M$31</f>
        <v>1</v>
      </c>
      <c r="O39" s="30">
        <f>1 - CUSTOS!$M$31</f>
        <v>1</v>
      </c>
      <c r="P39" s="30"/>
      <c r="Q39" s="30">
        <f>(1 - CUSTOS!$M$31)*1</f>
        <v>1</v>
      </c>
      <c r="R39" s="30"/>
      <c r="S39" s="30">
        <f>1 - CUSTOS!$M$31</f>
        <v>1</v>
      </c>
      <c r="T39" s="30">
        <f>1 - CUSTOS!$M$31</f>
        <v>1</v>
      </c>
      <c r="U39" s="30">
        <f>1 - CUSTOS!$M$31</f>
        <v>1</v>
      </c>
      <c r="V39" s="30"/>
      <c r="W39" s="30"/>
      <c r="X39" s="30"/>
      <c r="Y39" s="30">
        <f>1 - CUSTOS!$M$31</f>
        <v>1</v>
      </c>
      <c r="Z39" s="30"/>
      <c r="AA39" s="30"/>
    </row>
    <row r="40" spans="1:27" ht="11.25" customHeight="1" x14ac:dyDescent="0.3">
      <c r="A40" s="129" t="s">
        <v>43</v>
      </c>
      <c r="B40" s="129" t="s">
        <v>81</v>
      </c>
      <c r="C40" s="129" t="s">
        <v>44</v>
      </c>
      <c r="D40" s="33" t="s">
        <v>45</v>
      </c>
      <c r="E40" s="33" t="s">
        <v>25</v>
      </c>
      <c r="F40" s="33" t="s">
        <v>25</v>
      </c>
      <c r="G40" s="32" t="s">
        <v>74</v>
      </c>
      <c r="H40" s="32" t="s">
        <v>67</v>
      </c>
      <c r="I40" s="32">
        <f>'MERCADO TE'!$U$37</f>
        <v>665.90099999999984</v>
      </c>
      <c r="J40" s="17"/>
      <c r="L40" s="30">
        <f>1 - CUSTOS!$M$32</f>
        <v>0.53</v>
      </c>
      <c r="M40" s="30">
        <f>1 - CUSTOS!$M$32</f>
        <v>0.53</v>
      </c>
      <c r="N40" s="30">
        <f>1 - CUSTOS!$M$32</f>
        <v>0.53</v>
      </c>
      <c r="O40" s="30">
        <f>1 - CUSTOS!$M$32</f>
        <v>0.53</v>
      </c>
      <c r="P40" s="30"/>
      <c r="Q40" s="30">
        <f>(1 - CUSTOS!$M$32)*1</f>
        <v>0.53</v>
      </c>
      <c r="R40" s="30"/>
      <c r="S40" s="30">
        <f>1 - CUSTOS!$M$32</f>
        <v>0.53</v>
      </c>
      <c r="T40" s="30">
        <f>1 - CUSTOS!$M$32</f>
        <v>0.53</v>
      </c>
      <c r="U40" s="30">
        <f>1 - CUSTOS!$M$32</f>
        <v>0.53</v>
      </c>
      <c r="V40" s="30"/>
      <c r="W40" s="30"/>
      <c r="X40" s="30"/>
      <c r="Y40" s="30">
        <f>1 - CUSTOS!$M$32</f>
        <v>0.53</v>
      </c>
      <c r="Z40" s="30"/>
      <c r="AA40" s="30"/>
    </row>
    <row r="41" spans="1:27" ht="11.25" customHeight="1" x14ac:dyDescent="0.3">
      <c r="A41" s="129"/>
      <c r="B41" s="129"/>
      <c r="C41" s="129"/>
      <c r="D41" s="32" t="s">
        <v>87</v>
      </c>
      <c r="E41" s="32" t="s">
        <v>25</v>
      </c>
      <c r="F41" s="32" t="s">
        <v>25</v>
      </c>
      <c r="G41" s="32" t="s">
        <v>74</v>
      </c>
      <c r="H41" s="32" t="s">
        <v>67</v>
      </c>
      <c r="I41" s="32">
        <f>'MERCADO TE'!$U$38</f>
        <v>0</v>
      </c>
      <c r="J41" s="17"/>
      <c r="L41" s="30">
        <f>1 - CUSTOS!$M$33</f>
        <v>0.58000000000000007</v>
      </c>
      <c r="M41" s="30">
        <f>1 - CUSTOS!$M$33</f>
        <v>0.58000000000000007</v>
      </c>
      <c r="N41" s="30">
        <f>1 - CUSTOS!$M$33</f>
        <v>0.58000000000000007</v>
      </c>
      <c r="O41" s="30">
        <f>1 - CUSTOS!$M$33</f>
        <v>0.58000000000000007</v>
      </c>
      <c r="P41" s="30"/>
      <c r="Q41" s="30">
        <f>(1 - CUSTOS!$M$33)*1</f>
        <v>0.58000000000000007</v>
      </c>
      <c r="R41" s="30"/>
      <c r="S41" s="30">
        <f>1 - CUSTOS!$M$33</f>
        <v>0.58000000000000007</v>
      </c>
      <c r="T41" s="30">
        <f>1 - CUSTOS!$M$33</f>
        <v>0.58000000000000007</v>
      </c>
      <c r="U41" s="30">
        <f>1 - CUSTOS!$M$33</f>
        <v>0.58000000000000007</v>
      </c>
      <c r="V41" s="30"/>
      <c r="W41" s="30"/>
      <c r="X41" s="30"/>
      <c r="Y41" s="30">
        <f>1 - CUSTOS!$M$33</f>
        <v>0.58000000000000007</v>
      </c>
      <c r="Z41" s="30"/>
      <c r="AA41" s="30"/>
    </row>
    <row r="43" spans="1:27" ht="11.25" customHeight="1" x14ac:dyDescent="0.3">
      <c r="K43" s="35" t="s">
        <v>469</v>
      </c>
      <c r="L43" s="30">
        <f t="shared" ref="L43:AA43" si="0">SUMPRODUCT($I$5:$I$41,L$5:L$41)</f>
        <v>19937.936530000006</v>
      </c>
      <c r="M43" s="30">
        <f t="shared" si="0"/>
        <v>19937.936530000006</v>
      </c>
      <c r="N43" s="30">
        <f t="shared" si="0"/>
        <v>19937.936530000006</v>
      </c>
      <c r="O43" s="30">
        <f t="shared" si="0"/>
        <v>19937.936530000006</v>
      </c>
      <c r="P43" s="30">
        <f t="shared" si="0"/>
        <v>0</v>
      </c>
      <c r="Q43" s="30">
        <f t="shared" si="0"/>
        <v>19937.936530000006</v>
      </c>
      <c r="R43" s="30">
        <f t="shared" si="0"/>
        <v>0</v>
      </c>
      <c r="S43" s="30">
        <f t="shared" si="0"/>
        <v>19937.936530000006</v>
      </c>
      <c r="T43" s="30">
        <f t="shared" si="0"/>
        <v>19937.936530000006</v>
      </c>
      <c r="U43" s="30">
        <f t="shared" si="0"/>
        <v>19937.936530000006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19937.936530000006</v>
      </c>
      <c r="Z43" s="30">
        <f t="shared" si="0"/>
        <v>0</v>
      </c>
      <c r="AA43" s="30">
        <f t="shared" si="0"/>
        <v>0</v>
      </c>
    </row>
    <row r="44" spans="1:27" ht="11.25" customHeight="1" x14ac:dyDescent="0.3">
      <c r="K44" s="35" t="s">
        <v>388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3637685.8018519101</v>
      </c>
      <c r="R44" s="30">
        <f>CUSTOS!$D$36</f>
        <v>3637685.8018519101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3637685.8018519101</v>
      </c>
    </row>
    <row r="45" spans="1:27" ht="11.25" customHeight="1" x14ac:dyDescent="0.3">
      <c r="K45" s="35" t="s">
        <v>389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864196.38677906559</v>
      </c>
      <c r="R45" s="30">
        <f>CUSTOS!$E$36</f>
        <v>864196.38677906559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0</v>
      </c>
      <c r="X45" s="30">
        <f>CUSTOS!$E$42</f>
        <v>0</v>
      </c>
      <c r="Y45" s="30">
        <f>CUSTOS!$E$43</f>
        <v>0</v>
      </c>
      <c r="Z45" s="30">
        <f>CUSTOS!$E$44</f>
        <v>0</v>
      </c>
      <c r="AA45" s="30">
        <f>CUSTOS!$E$45</f>
        <v>864196.38677906559</v>
      </c>
    </row>
    <row r="46" spans="1:27" ht="11.25" customHeight="1" x14ac:dyDescent="0.3">
      <c r="K46" s="35" t="s">
        <v>390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3">
      <c r="K47" s="35" t="s">
        <v>470</v>
      </c>
      <c r="L47" s="30">
        <f>IF(SUMPRODUCT($I$5:$I$41,$L$5:$L$41)&lt;&gt;0,L44/SUMPRODUCT($I$5:$I$41,$L$5:$L$41),0)</f>
        <v>0</v>
      </c>
      <c r="M47" s="30">
        <f>IF(SUMPRODUCT($I$5:$I$41,$M$5:$M$41)&lt;&gt;0,M44/SUMPRODUCT($I$5:$I$41,$M$5:$M$41),0)</f>
        <v>0</v>
      </c>
      <c r="N47" s="30">
        <f>IF(SUMPRODUCT($I$5:$I$41,$N$5:$N$41)&lt;&gt;0,N44/SUMPRODUCT($I$5:$I$41,$N$5:$N$41),0)</f>
        <v>0</v>
      </c>
      <c r="O47" s="30">
        <f>IF(SUMPRODUCT($I$5:$I$41,$O$5:$O$41)&lt;&gt;0,O44/SUMPRODUCT($I$5:$I$41,$O$5:$O$41),0)</f>
        <v>0</v>
      </c>
      <c r="P47" s="30"/>
      <c r="Q47" s="30">
        <f>IF((CUSTOS!$M$12-CUSTOS!$M$13)&lt;&gt;0,(CUSTOS!$M$12*CUSTOS!$M$14)/(CUSTOS!$M$12-CUSTOS!$M$13),0)</f>
        <v>182.53425299999998</v>
      </c>
      <c r="R47" s="30"/>
      <c r="S47" s="30">
        <f>IF(SUMPRODUCT($I$5:$I$41,$S$5:$S$41)&lt;&gt;0,S44/SUMPRODUCT($I$5:$I$41,$S$5:$S$41),0)</f>
        <v>0</v>
      </c>
      <c r="T47" s="30">
        <f>IF(SUMPRODUCT($I$5:$I$41,$T$5:$T$41)&lt;&gt;0,T44/SUMPRODUCT($I$5:$I$41,$T$5:$T$41),0)</f>
        <v>0</v>
      </c>
      <c r="U47" s="30">
        <f>IF(SUMPRODUCT($I$5:$I$41,$U$5:$U$41)&lt;&gt;0,U44/SUMPRODUCT($I$5:$I$41,$U$5:$U$41),0)</f>
        <v>0</v>
      </c>
      <c r="V47" s="30"/>
      <c r="W47" s="30">
        <f>IF(SUMPRODUCT($I$5:$I$41,$W$5:$W$41)&lt;&gt;0,W44/SUMPRODUCT($I$5:$I$41,$W$5:$W$41),0)</f>
        <v>0</v>
      </c>
      <c r="X47" s="30"/>
      <c r="Y47" s="30">
        <f>IF(SUMPRODUCT($I$5:$I$41,$Y$5:$Y$41)&lt;&gt;0,Y44/SUMPRODUCT($I$5:$I$41,$Y$5:$Y$41),0)</f>
        <v>0</v>
      </c>
      <c r="Z47" s="30"/>
      <c r="AA47" s="30"/>
    </row>
    <row r="48" spans="1:27" ht="11.25" customHeight="1" x14ac:dyDescent="0.3">
      <c r="K48" s="35" t="s">
        <v>471</v>
      </c>
      <c r="L48" s="30">
        <f>IF(L43&lt;&gt;0,(L44-L47*0)/(L43-0),0)</f>
        <v>0</v>
      </c>
      <c r="M48" s="30">
        <f>IF(M43&lt;&gt;0,(M44-M47*0)/(M43-0),0)</f>
        <v>0</v>
      </c>
      <c r="N48" s="30">
        <f>IF(N43&lt;&gt;0,(N44-N47*0)/(N43-0),0)</f>
        <v>0</v>
      </c>
      <c r="O48" s="30">
        <f>IF(O43&lt;&gt;0,(O44-O47*0)/(O43-0),0)</f>
        <v>0</v>
      </c>
      <c r="P48" s="30"/>
      <c r="Q48" s="30">
        <f>IF(Q43&lt;&gt;0,(Q44-Q47*0)/(Q43-0),0)</f>
        <v>182.45046554232906</v>
      </c>
      <c r="R48" s="30"/>
      <c r="S48" s="30">
        <f>IF(S43&lt;&gt;0,(S44-S47*0)/(S43-0),0)</f>
        <v>0</v>
      </c>
      <c r="T48" s="30">
        <f>IF(T43&lt;&gt;0,(T44-T47*0)/(T43-0),0)</f>
        <v>0</v>
      </c>
      <c r="U48" s="30">
        <f>IF(U43&lt;&gt;0,(U44-U47*0)/(U43-0),0)</f>
        <v>0</v>
      </c>
      <c r="V48" s="30"/>
      <c r="W48" s="30">
        <f>IF(W43&lt;&gt;0,(W44-W47*0)/(W43-0),0)</f>
        <v>0</v>
      </c>
      <c r="X48" s="30"/>
      <c r="Y48" s="30">
        <f>IF(Y43&lt;&gt;0,(Y44-Y47*0)/(Y43-0),0)</f>
        <v>0</v>
      </c>
      <c r="Z48" s="30"/>
      <c r="AA48" s="30"/>
    </row>
    <row r="49" spans="11:27" ht="11.25" customHeight="1" x14ac:dyDescent="0.3">
      <c r="K49" s="35" t="s">
        <v>472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</sheetData>
  <mergeCells count="61">
    <mergeCell ref="Y3:Z3"/>
    <mergeCell ref="AA3:AA4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20ED-9F83-499D-9270-8F2EB1A7CC09}">
  <dimension ref="A1:AA49"/>
  <sheetViews>
    <sheetView showGridLines="0" topLeftCell="I28" workbookViewId="0">
      <selection activeCell="AA43" sqref="AA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57</v>
      </c>
      <c r="B1" s="130" t="s">
        <v>58</v>
      </c>
      <c r="C1" s="130" t="s">
        <v>59</v>
      </c>
      <c r="D1" s="130" t="s">
        <v>60</v>
      </c>
      <c r="E1" s="130" t="s">
        <v>61</v>
      </c>
      <c r="F1" s="130" t="s">
        <v>15</v>
      </c>
      <c r="G1" s="130" t="s">
        <v>63</v>
      </c>
      <c r="H1" s="130" t="s">
        <v>64</v>
      </c>
      <c r="I1" s="130" t="s">
        <v>447</v>
      </c>
      <c r="J1" s="115"/>
      <c r="L1" s="131" t="s">
        <v>473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5"/>
      <c r="L2" s="131" t="s">
        <v>375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5"/>
      <c r="L3" s="131" t="s">
        <v>348</v>
      </c>
      <c r="M3" s="131"/>
      <c r="N3" s="131"/>
      <c r="O3" s="131"/>
      <c r="P3" s="131"/>
      <c r="Q3" s="131" t="s">
        <v>378</v>
      </c>
      <c r="R3" s="131"/>
      <c r="S3" s="131" t="s">
        <v>357</v>
      </c>
      <c r="T3" s="131"/>
      <c r="U3" s="131"/>
      <c r="V3" s="131"/>
      <c r="W3" s="131" t="s">
        <v>367</v>
      </c>
      <c r="X3" s="131"/>
      <c r="Y3" s="131" t="s">
        <v>370</v>
      </c>
      <c r="Z3" s="131"/>
      <c r="AA3" s="131" t="s">
        <v>356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5"/>
      <c r="L4" s="34" t="s">
        <v>350</v>
      </c>
      <c r="M4" s="34" t="s">
        <v>376</v>
      </c>
      <c r="N4" s="34" t="s">
        <v>377</v>
      </c>
      <c r="O4" s="34" t="s">
        <v>435</v>
      </c>
      <c r="P4" s="34" t="s">
        <v>356</v>
      </c>
      <c r="Q4" s="34" t="s">
        <v>379</v>
      </c>
      <c r="R4" s="34" t="s">
        <v>356</v>
      </c>
      <c r="S4" s="34" t="s">
        <v>380</v>
      </c>
      <c r="T4" s="34" t="s">
        <v>381</v>
      </c>
      <c r="U4" s="34" t="s">
        <v>382</v>
      </c>
      <c r="V4" s="34" t="s">
        <v>356</v>
      </c>
      <c r="W4" s="34" t="s">
        <v>368</v>
      </c>
      <c r="X4" s="34" t="s">
        <v>356</v>
      </c>
      <c r="Y4" s="34" t="s">
        <v>383</v>
      </c>
      <c r="Z4" s="34" t="s">
        <v>356</v>
      </c>
      <c r="AA4" s="132"/>
    </row>
    <row r="5" spans="1:27" ht="11.25" customHeight="1" x14ac:dyDescent="0.3">
      <c r="A5" s="129" t="s">
        <v>36</v>
      </c>
      <c r="B5" s="129" t="s">
        <v>66</v>
      </c>
      <c r="C5" s="129" t="s">
        <v>25</v>
      </c>
      <c r="D5" s="129" t="s">
        <v>25</v>
      </c>
      <c r="E5" s="129" t="s">
        <v>25</v>
      </c>
      <c r="F5" s="129" t="s">
        <v>25</v>
      </c>
      <c r="G5" s="32" t="s">
        <v>68</v>
      </c>
      <c r="H5" s="32" t="s">
        <v>67</v>
      </c>
      <c r="I5" s="32">
        <f>'MERCADO TE'!$U$2</f>
        <v>149.95200000000003</v>
      </c>
      <c r="J5" s="17"/>
      <c r="L5" s="30">
        <f>'TR TE'!$L$5*'TR TE'!$L$48</f>
        <v>0</v>
      </c>
      <c r="M5" s="30">
        <f>'TR TE'!$M$5*'TR TE'!$M$48</f>
        <v>0</v>
      </c>
      <c r="N5" s="30">
        <f>'TR TE'!$N$5*'TR TE'!$N$48</f>
        <v>0</v>
      </c>
      <c r="O5" s="30">
        <f>'TR TE'!$O$5*'TR TE'!$O$48</f>
        <v>0</v>
      </c>
      <c r="P5" s="30">
        <f>SUM($L$5:$O$5)</f>
        <v>0</v>
      </c>
      <c r="Q5" s="30">
        <f>'TR TE'!$Q$5*'TR TE'!$Q$48</f>
        <v>182.45046554232906</v>
      </c>
      <c r="R5" s="30">
        <f>SUM($Q$5:$Q$5)</f>
        <v>182.45046554232906</v>
      </c>
      <c r="S5" s="30">
        <f>'TR TE'!$S$5*'TR TE'!$S$48</f>
        <v>0</v>
      </c>
      <c r="T5" s="30">
        <f>'TR TE'!$T$5*'TR TE'!$T$48</f>
        <v>0</v>
      </c>
      <c r="U5" s="30">
        <f>'TR TE'!$U$5*'TR TE'!$U$48</f>
        <v>0</v>
      </c>
      <c r="V5" s="30">
        <f>SUM($S$5:$U$5)</f>
        <v>0</v>
      </c>
      <c r="W5" s="30"/>
      <c r="X5" s="30">
        <f>SUM($W$5:$W$5)</f>
        <v>0</v>
      </c>
      <c r="Y5" s="30">
        <f>'TR TE'!$Y$5*'TR TE'!$Y$48</f>
        <v>0</v>
      </c>
      <c r="Z5" s="30">
        <f>SUM($Y$5:$Y$5)</f>
        <v>0</v>
      </c>
      <c r="AA5" s="30">
        <f>SUMIF($L$4:$Z$4,"SUBTOTAL",$L$5:$Z$5)</f>
        <v>182.45046554232906</v>
      </c>
    </row>
    <row r="6" spans="1:27" ht="11.25" customHeight="1" x14ac:dyDescent="0.3">
      <c r="A6" s="129"/>
      <c r="B6" s="129"/>
      <c r="C6" s="129"/>
      <c r="D6" s="129"/>
      <c r="E6" s="129"/>
      <c r="F6" s="129"/>
      <c r="G6" s="32" t="s">
        <v>69</v>
      </c>
      <c r="H6" s="32" t="s">
        <v>67</v>
      </c>
      <c r="I6" s="32">
        <f>'MERCADO TE'!$U$3</f>
        <v>2536.7999999999997</v>
      </c>
      <c r="J6" s="17"/>
      <c r="L6" s="30">
        <f>'TR TE'!$L$6*'TR TE'!$L$48</f>
        <v>0</v>
      </c>
      <c r="M6" s="30">
        <f>'TR TE'!$M$6*'TR TE'!$M$48</f>
        <v>0</v>
      </c>
      <c r="N6" s="30">
        <f>'TR TE'!$N$6*'TR TE'!$N$48</f>
        <v>0</v>
      </c>
      <c r="O6" s="30">
        <f>'TR TE'!$O$6*'TR TE'!$O$48</f>
        <v>0</v>
      </c>
      <c r="P6" s="30">
        <f>SUM($L$6:$O$6)</f>
        <v>0</v>
      </c>
      <c r="Q6" s="30">
        <f>'TR TE'!$Q$6*'TR TE'!$Q$48</f>
        <v>182.45046554232906</v>
      </c>
      <c r="R6" s="30">
        <f>SUM($Q$6:$Q$6)</f>
        <v>182.45046554232906</v>
      </c>
      <c r="S6" s="30">
        <f>'TR TE'!$S$6*'TR TE'!$S$48</f>
        <v>0</v>
      </c>
      <c r="T6" s="30">
        <f>'TR TE'!$T$6*'TR TE'!$T$48</f>
        <v>0</v>
      </c>
      <c r="U6" s="30">
        <f>'TR TE'!$U$6*'TR TE'!$U$48</f>
        <v>0</v>
      </c>
      <c r="V6" s="30">
        <f>SUM($S$6:$U$6)</f>
        <v>0</v>
      </c>
      <c r="W6" s="30"/>
      <c r="X6" s="30">
        <f>SUM($W$6:$W$6)</f>
        <v>0</v>
      </c>
      <c r="Y6" s="30">
        <f>'TR TE'!$Y$6*'TR TE'!$Y$48</f>
        <v>0</v>
      </c>
      <c r="Z6" s="30">
        <f>SUM($Y$6:$Y$6)</f>
        <v>0</v>
      </c>
      <c r="AA6" s="30">
        <f>SUMIF($L$4:$Z$4,"SUBTOTAL",$L$6:$Z$6)</f>
        <v>182.45046554232906</v>
      </c>
    </row>
    <row r="7" spans="1:27" ht="11.25" customHeight="1" x14ac:dyDescent="0.3">
      <c r="A7" s="129" t="s">
        <v>22</v>
      </c>
      <c r="B7" s="129" t="s">
        <v>66</v>
      </c>
      <c r="C7" s="129" t="s">
        <v>24</v>
      </c>
      <c r="D7" s="129" t="s">
        <v>24</v>
      </c>
      <c r="E7" s="129" t="s">
        <v>25</v>
      </c>
      <c r="F7" s="129" t="s">
        <v>25</v>
      </c>
      <c r="G7" s="32" t="s">
        <v>68</v>
      </c>
      <c r="H7" s="32" t="s">
        <v>67</v>
      </c>
      <c r="I7" s="32">
        <f>'MERCADO TE'!$U$4</f>
        <v>0</v>
      </c>
      <c r="J7" s="17"/>
      <c r="L7" s="30">
        <f>'TR TE'!$L$7*'TR TE'!$L$48</f>
        <v>0</v>
      </c>
      <c r="M7" s="30">
        <f>'TR TE'!$M$7*'TR TE'!$M$48</f>
        <v>0</v>
      </c>
      <c r="N7" s="30">
        <f>'TR TE'!$N$7*'TR TE'!$N$48</f>
        <v>0</v>
      </c>
      <c r="O7" s="30">
        <f>'TR TE'!$O$7*'TR TE'!$O$48</f>
        <v>0</v>
      </c>
      <c r="P7" s="30">
        <f>SUM($L$7:$O$7)</f>
        <v>0</v>
      </c>
      <c r="Q7" s="30">
        <f>'TR TE'!$Q$7*'TR TE'!$Q$48</f>
        <v>182.45046554232906</v>
      </c>
      <c r="R7" s="30">
        <f>SUM($Q$7:$Q$7)</f>
        <v>182.45046554232906</v>
      </c>
      <c r="S7" s="30">
        <f>'TR TE'!$S$7*'TR TE'!$S$48</f>
        <v>0</v>
      </c>
      <c r="T7" s="30">
        <f>'TR TE'!$T$7*'TR TE'!$T$48</f>
        <v>0</v>
      </c>
      <c r="U7" s="30">
        <f>'TR TE'!$U$7*'TR TE'!$U$48</f>
        <v>0</v>
      </c>
      <c r="V7" s="30">
        <f>SUM($S$7:$U$7)</f>
        <v>0</v>
      </c>
      <c r="W7" s="30"/>
      <c r="X7" s="30">
        <f>SUM($W$7:$W$7)</f>
        <v>0</v>
      </c>
      <c r="Y7" s="30">
        <f>'TR TE'!$Y$7*'TR TE'!$Y$48</f>
        <v>0</v>
      </c>
      <c r="Z7" s="30">
        <f>SUM($Y$7:$Y$7)</f>
        <v>0</v>
      </c>
      <c r="AA7" s="30">
        <f>SUMIF($L$4:$Z$4,"SUBTOTAL",$L$7:$Z$7)</f>
        <v>182.45046554232906</v>
      </c>
    </row>
    <row r="8" spans="1:27" ht="11.25" customHeight="1" x14ac:dyDescent="0.3">
      <c r="A8" s="129"/>
      <c r="B8" s="129"/>
      <c r="C8" s="129"/>
      <c r="D8" s="129"/>
      <c r="E8" s="129"/>
      <c r="F8" s="129"/>
      <c r="G8" s="32" t="s">
        <v>80</v>
      </c>
      <c r="H8" s="32" t="s">
        <v>67</v>
      </c>
      <c r="I8" s="32">
        <f>'MERCADO TE'!$U$5</f>
        <v>0</v>
      </c>
      <c r="J8" s="17"/>
      <c r="L8" s="30">
        <f>'TR TE'!$L$8*'TR TE'!$L$48</f>
        <v>0</v>
      </c>
      <c r="M8" s="30">
        <f>'TR TE'!$M$8*'TR TE'!$M$48</f>
        <v>0</v>
      </c>
      <c r="N8" s="30">
        <f>'TR TE'!$N$8*'TR TE'!$N$48</f>
        <v>0</v>
      </c>
      <c r="O8" s="30">
        <f>'TR TE'!$O$8*'TR TE'!$O$48</f>
        <v>0</v>
      </c>
      <c r="P8" s="30">
        <f>SUM($L$8:$O$8)</f>
        <v>0</v>
      </c>
      <c r="Q8" s="30">
        <f>'TR TE'!$Q$8*'TR TE'!$Q$48</f>
        <v>182.45046554232906</v>
      </c>
      <c r="R8" s="30">
        <f>SUM($Q$8:$Q$8)</f>
        <v>182.45046554232906</v>
      </c>
      <c r="S8" s="30">
        <f>'TR TE'!$S$8*'TR TE'!$S$48</f>
        <v>0</v>
      </c>
      <c r="T8" s="30">
        <f>'TR TE'!$T$8*'TR TE'!$T$48</f>
        <v>0</v>
      </c>
      <c r="U8" s="30">
        <f>'TR TE'!$U$8*'TR TE'!$U$48</f>
        <v>0</v>
      </c>
      <c r="V8" s="30">
        <f>SUM($S$8:$U$8)</f>
        <v>0</v>
      </c>
      <c r="W8" s="30"/>
      <c r="X8" s="30">
        <f>SUM($W$8:$W$8)</f>
        <v>0</v>
      </c>
      <c r="Y8" s="30">
        <f>'TR TE'!$Y$8*'TR TE'!$Y$48</f>
        <v>0</v>
      </c>
      <c r="Z8" s="30">
        <f>SUM($Y$8:$Y$8)</f>
        <v>0</v>
      </c>
      <c r="AA8" s="30">
        <f>SUMIF($L$4:$Z$4,"SUBTOTAL",$L$8:$Z$8)</f>
        <v>182.45046554232906</v>
      </c>
    </row>
    <row r="9" spans="1:27" ht="11.25" customHeight="1" x14ac:dyDescent="0.3">
      <c r="A9" s="129"/>
      <c r="B9" s="129"/>
      <c r="C9" s="129"/>
      <c r="D9" s="129"/>
      <c r="E9" s="129"/>
      <c r="F9" s="129"/>
      <c r="G9" s="32" t="s">
        <v>69</v>
      </c>
      <c r="H9" s="32" t="s">
        <v>67</v>
      </c>
      <c r="I9" s="32">
        <f>'MERCADO TE'!$U$6</f>
        <v>0</v>
      </c>
      <c r="J9" s="17"/>
      <c r="L9" s="30">
        <f>'TR TE'!$L$9*'TR TE'!$L$48</f>
        <v>0</v>
      </c>
      <c r="M9" s="30">
        <f>'TR TE'!$M$9*'TR TE'!$M$48</f>
        <v>0</v>
      </c>
      <c r="N9" s="30">
        <f>'TR TE'!$N$9*'TR TE'!$N$48</f>
        <v>0</v>
      </c>
      <c r="O9" s="30">
        <f>'TR TE'!$O$9*'TR TE'!$O$48</f>
        <v>0</v>
      </c>
      <c r="P9" s="30">
        <f>SUM($L$9:$O$9)</f>
        <v>0</v>
      </c>
      <c r="Q9" s="30">
        <f>'TR TE'!$Q$9*'TR TE'!$Q$48</f>
        <v>182.45046554232906</v>
      </c>
      <c r="R9" s="30">
        <f>SUM($Q$9:$Q$9)</f>
        <v>182.45046554232906</v>
      </c>
      <c r="S9" s="30">
        <f>'TR TE'!$S$9*'TR TE'!$S$48</f>
        <v>0</v>
      </c>
      <c r="T9" s="30">
        <f>'TR TE'!$T$9*'TR TE'!$T$48</f>
        <v>0</v>
      </c>
      <c r="U9" s="30">
        <f>'TR TE'!$U$9*'TR TE'!$U$48</f>
        <v>0</v>
      </c>
      <c r="V9" s="30">
        <f>SUM($S$9:$U$9)</f>
        <v>0</v>
      </c>
      <c r="W9" s="30"/>
      <c r="X9" s="30">
        <f>SUM($W$9:$W$9)</f>
        <v>0</v>
      </c>
      <c r="Y9" s="30">
        <f>'TR TE'!$Y$9*'TR TE'!$Y$48</f>
        <v>0</v>
      </c>
      <c r="Z9" s="30">
        <f>SUM($Y$9:$Y$9)</f>
        <v>0</v>
      </c>
      <c r="AA9" s="30">
        <f>SUMIF($L$4:$Z$4,"SUBTOTAL",$L$9:$Z$9)</f>
        <v>182.45046554232906</v>
      </c>
    </row>
    <row r="10" spans="1:27" ht="11.25" customHeight="1" x14ac:dyDescent="0.3">
      <c r="A10" s="129"/>
      <c r="B10" s="129" t="s">
        <v>81</v>
      </c>
      <c r="C10" s="129" t="s">
        <v>24</v>
      </c>
      <c r="D10" s="33" t="s">
        <v>24</v>
      </c>
      <c r="E10" s="33" t="s">
        <v>25</v>
      </c>
      <c r="F10" s="33" t="s">
        <v>25</v>
      </c>
      <c r="G10" s="32" t="s">
        <v>74</v>
      </c>
      <c r="H10" s="32" t="s">
        <v>67</v>
      </c>
      <c r="I10" s="32">
        <f>'MERCADO TE'!$U$7</f>
        <v>8666.1360000000022</v>
      </c>
      <c r="J10" s="17"/>
      <c r="L10" s="30">
        <f>'TR TE'!$L$10*'TR TE'!$L$48</f>
        <v>0</v>
      </c>
      <c r="M10" s="30">
        <f>'TR TE'!$M$10*'TR TE'!$M$48</f>
        <v>0</v>
      </c>
      <c r="N10" s="30">
        <f>'TR TE'!$N$10*'TR TE'!$N$48</f>
        <v>0</v>
      </c>
      <c r="O10" s="30">
        <f>'TR TE'!$O$10*'TR TE'!$O$48</f>
        <v>0</v>
      </c>
      <c r="P10" s="30">
        <f>SUM($L$10:$O$10)</f>
        <v>0</v>
      </c>
      <c r="Q10" s="30">
        <f>'TR TE'!$Q$10*'TR TE'!$Q$48</f>
        <v>182.45046554232906</v>
      </c>
      <c r="R10" s="30">
        <f>SUM($Q$10:$Q$10)</f>
        <v>182.45046554232906</v>
      </c>
      <c r="S10" s="30">
        <f>'TR TE'!$S$10*'TR TE'!$S$48</f>
        <v>0</v>
      </c>
      <c r="T10" s="30">
        <f>'TR TE'!$T$10*'TR TE'!$T$48</f>
        <v>0</v>
      </c>
      <c r="U10" s="30">
        <f>'TR TE'!$U$10*'TR TE'!$U$48</f>
        <v>0</v>
      </c>
      <c r="V10" s="30">
        <f>SUM($S$10:$U$10)</f>
        <v>0</v>
      </c>
      <c r="W10" s="30"/>
      <c r="X10" s="30">
        <f>SUM($W$10:$W$10)</f>
        <v>0</v>
      </c>
      <c r="Y10" s="30">
        <f>'TR TE'!$Y$10*'TR TE'!$Y$48</f>
        <v>0</v>
      </c>
      <c r="Z10" s="30">
        <f>SUM($Y$10:$Y$10)</f>
        <v>0</v>
      </c>
      <c r="AA10" s="30">
        <f>SUMIF($L$4:$Z$4,"SUBTOTAL",$L$10:$Z$10)</f>
        <v>182.45046554232906</v>
      </c>
    </row>
    <row r="11" spans="1:27" ht="11.25" customHeight="1" x14ac:dyDescent="0.3">
      <c r="A11" s="129"/>
      <c r="B11" s="129"/>
      <c r="C11" s="129"/>
      <c r="D11" s="33" t="s">
        <v>29</v>
      </c>
      <c r="E11" s="33" t="s">
        <v>25</v>
      </c>
      <c r="F11" s="33" t="s">
        <v>25</v>
      </c>
      <c r="G11" s="32" t="s">
        <v>74</v>
      </c>
      <c r="H11" s="32" t="s">
        <v>67</v>
      </c>
      <c r="I11" s="32">
        <f>'MERCADO TE'!$U$8</f>
        <v>34.769999999999996</v>
      </c>
      <c r="J11" s="17"/>
      <c r="L11" s="30">
        <f>'TR TE'!$L$11*'TR TE'!$L$48</f>
        <v>0</v>
      </c>
      <c r="M11" s="30">
        <f>'TR TE'!$M$11*'TR TE'!$M$48</f>
        <v>0</v>
      </c>
      <c r="N11" s="30">
        <f>'TR TE'!$N$11*'TR TE'!$N$48</f>
        <v>0</v>
      </c>
      <c r="O11" s="30">
        <f>'TR TE'!$O$11*'TR TE'!$O$48</f>
        <v>0</v>
      </c>
      <c r="P11" s="30">
        <f>SUM($L$11:$O$11)</f>
        <v>0</v>
      </c>
      <c r="Q11" s="30">
        <f>'TR TE'!$Q$11*'TR TE'!$Q$48</f>
        <v>182.45046554232906</v>
      </c>
      <c r="R11" s="30">
        <f>SUM($Q$11:$Q$11)</f>
        <v>182.45046554232906</v>
      </c>
      <c r="S11" s="30">
        <f>'TR TE'!$S$11*'TR TE'!$S$48</f>
        <v>0</v>
      </c>
      <c r="T11" s="30">
        <f>'TR TE'!$T$11*'TR TE'!$T$48</f>
        <v>0</v>
      </c>
      <c r="U11" s="30">
        <f>'TR TE'!$U$11*'TR TE'!$U$48</f>
        <v>0</v>
      </c>
      <c r="V11" s="30">
        <f>SUM($S$11:$U$11)</f>
        <v>0</v>
      </c>
      <c r="W11" s="30"/>
      <c r="X11" s="30">
        <f>SUM($W$11:$W$11)</f>
        <v>0</v>
      </c>
      <c r="Y11" s="30">
        <f>'TR TE'!$Y$11*'TR TE'!$Y$48</f>
        <v>0</v>
      </c>
      <c r="Z11" s="30">
        <f>SUM($Y$11:$Y$11)</f>
        <v>0</v>
      </c>
      <c r="AA11" s="30">
        <f>SUMIF($L$4:$Z$4,"SUBTOTAL",$L$11:$Z$11)</f>
        <v>182.45046554232906</v>
      </c>
    </row>
    <row r="12" spans="1:27" ht="11.25" customHeight="1" x14ac:dyDescent="0.3">
      <c r="A12" s="129"/>
      <c r="B12" s="129"/>
      <c r="C12" s="129"/>
      <c r="D12" s="33" t="s">
        <v>30</v>
      </c>
      <c r="E12" s="33" t="s">
        <v>25</v>
      </c>
      <c r="F12" s="33" t="s">
        <v>25</v>
      </c>
      <c r="G12" s="32" t="s">
        <v>74</v>
      </c>
      <c r="H12" s="32" t="s">
        <v>67</v>
      </c>
      <c r="I12" s="32">
        <f>'MERCADO TE'!$U$9</f>
        <v>75.075000000000003</v>
      </c>
      <c r="J12" s="17"/>
      <c r="L12" s="30">
        <f>'TR TE'!$L$12*'TR TE'!$L$48</f>
        <v>0</v>
      </c>
      <c r="M12" s="30">
        <f>'TR TE'!$M$12*'TR TE'!$M$48</f>
        <v>0</v>
      </c>
      <c r="N12" s="30">
        <f>'TR TE'!$N$12*'TR TE'!$N$48</f>
        <v>0</v>
      </c>
      <c r="O12" s="30">
        <f>'TR TE'!$O$12*'TR TE'!$O$48</f>
        <v>0</v>
      </c>
      <c r="P12" s="30">
        <f>SUM($L$12:$O$12)</f>
        <v>0</v>
      </c>
      <c r="Q12" s="30">
        <f>'TR TE'!$Q$12*'TR TE'!$Q$48</f>
        <v>182.45046554232906</v>
      </c>
      <c r="R12" s="30">
        <f>SUM($Q$12:$Q$12)</f>
        <v>182.45046554232906</v>
      </c>
      <c r="S12" s="30">
        <f>'TR TE'!$S$12*'TR TE'!$S$48</f>
        <v>0</v>
      </c>
      <c r="T12" s="30">
        <f>'TR TE'!$T$12*'TR TE'!$T$48</f>
        <v>0</v>
      </c>
      <c r="U12" s="30">
        <f>'TR TE'!$U$12*'TR TE'!$U$48</f>
        <v>0</v>
      </c>
      <c r="V12" s="30">
        <f>SUM($S$12:$U$12)</f>
        <v>0</v>
      </c>
      <c r="W12" s="30"/>
      <c r="X12" s="30">
        <f>SUM($W$12:$W$12)</f>
        <v>0</v>
      </c>
      <c r="Y12" s="30">
        <f>'TR TE'!$Y$12*'TR TE'!$Y$48</f>
        <v>0</v>
      </c>
      <c r="Z12" s="30">
        <f>SUM($Y$12:$Y$12)</f>
        <v>0</v>
      </c>
      <c r="AA12" s="30">
        <f>SUMIF($L$4:$Z$4,"SUBTOTAL",$L$12:$Z$12)</f>
        <v>182.45046554232906</v>
      </c>
    </row>
    <row r="13" spans="1:27" ht="11.25" customHeight="1" x14ac:dyDescent="0.3">
      <c r="A13" s="129"/>
      <c r="B13" s="129"/>
      <c r="C13" s="129"/>
      <c r="D13" s="33" t="s">
        <v>31</v>
      </c>
      <c r="E13" s="33" t="s">
        <v>25</v>
      </c>
      <c r="F13" s="33" t="s">
        <v>25</v>
      </c>
      <c r="G13" s="32" t="s">
        <v>74</v>
      </c>
      <c r="H13" s="32" t="s">
        <v>67</v>
      </c>
      <c r="I13" s="32">
        <f>'MERCADO TE'!$U$10</f>
        <v>64.762</v>
      </c>
      <c r="J13" s="17"/>
      <c r="L13" s="30">
        <f>'TR TE'!$L$13*'TR TE'!$L$48</f>
        <v>0</v>
      </c>
      <c r="M13" s="30">
        <f>'TR TE'!$M$13*'TR TE'!$M$48</f>
        <v>0</v>
      </c>
      <c r="N13" s="30">
        <f>'TR TE'!$N$13*'TR TE'!$N$48</f>
        <v>0</v>
      </c>
      <c r="O13" s="30">
        <f>'TR TE'!$O$13*'TR TE'!$O$48</f>
        <v>0</v>
      </c>
      <c r="P13" s="30">
        <f>SUM($L$13:$O$13)</f>
        <v>0</v>
      </c>
      <c r="Q13" s="30">
        <f>'TR TE'!$Q$13*'TR TE'!$Q$48</f>
        <v>182.45046554232906</v>
      </c>
      <c r="R13" s="30">
        <f>SUM($Q$13:$Q$13)</f>
        <v>182.45046554232906</v>
      </c>
      <c r="S13" s="30">
        <f>'TR TE'!$S$13*'TR TE'!$S$48</f>
        <v>0</v>
      </c>
      <c r="T13" s="30">
        <f>'TR TE'!$T$13*'TR TE'!$T$48</f>
        <v>0</v>
      </c>
      <c r="U13" s="30">
        <f>'TR TE'!$U$13*'TR TE'!$U$48</f>
        <v>0</v>
      </c>
      <c r="V13" s="30">
        <f>SUM($S$13:$U$13)</f>
        <v>0</v>
      </c>
      <c r="W13" s="30"/>
      <c r="X13" s="30">
        <f>SUM($W$13:$W$13)</f>
        <v>0</v>
      </c>
      <c r="Y13" s="30">
        <f>'TR TE'!$Y$13*'TR TE'!$Y$48</f>
        <v>0</v>
      </c>
      <c r="Z13" s="30">
        <f>SUM($Y$13:$Y$13)</f>
        <v>0</v>
      </c>
      <c r="AA13" s="30">
        <f>SUMIF($L$4:$Z$4,"SUBTOTAL",$L$13:$Z$13)</f>
        <v>182.45046554232906</v>
      </c>
    </row>
    <row r="14" spans="1:27" ht="11.25" customHeight="1" x14ac:dyDescent="0.3">
      <c r="A14" s="129"/>
      <c r="B14" s="129"/>
      <c r="C14" s="129"/>
      <c r="D14" s="33" t="s">
        <v>32</v>
      </c>
      <c r="E14" s="33" t="s">
        <v>25</v>
      </c>
      <c r="F14" s="33" t="s">
        <v>25</v>
      </c>
      <c r="G14" s="32" t="s">
        <v>74</v>
      </c>
      <c r="H14" s="32" t="s">
        <v>67</v>
      </c>
      <c r="I14" s="32">
        <f>'MERCADO TE'!$U$11</f>
        <v>22.914000000000001</v>
      </c>
      <c r="J14" s="17"/>
      <c r="L14" s="30">
        <f>'TR TE'!$L$14*'TR TE'!$L$48</f>
        <v>0</v>
      </c>
      <c r="M14" s="30">
        <f>'TR TE'!$M$14*'TR TE'!$M$48</f>
        <v>0</v>
      </c>
      <c r="N14" s="30">
        <f>'TR TE'!$N$14*'TR TE'!$N$48</f>
        <v>0</v>
      </c>
      <c r="O14" s="30">
        <f>'TR TE'!$O$14*'TR TE'!$O$48</f>
        <v>0</v>
      </c>
      <c r="P14" s="30">
        <f>SUM($L$14:$O$14)</f>
        <v>0</v>
      </c>
      <c r="Q14" s="30">
        <f>'TR TE'!$Q$14*'TR TE'!$Q$48</f>
        <v>182.45046554232906</v>
      </c>
      <c r="R14" s="30">
        <f>SUM($Q$14:$Q$14)</f>
        <v>182.45046554232906</v>
      </c>
      <c r="S14" s="30">
        <f>'TR TE'!$S$14*'TR TE'!$S$48</f>
        <v>0</v>
      </c>
      <c r="T14" s="30">
        <f>'TR TE'!$T$14*'TR TE'!$T$48</f>
        <v>0</v>
      </c>
      <c r="U14" s="30">
        <f>'TR TE'!$U$14*'TR TE'!$U$48</f>
        <v>0</v>
      </c>
      <c r="V14" s="30">
        <f>SUM($S$14:$U$14)</f>
        <v>0</v>
      </c>
      <c r="W14" s="30"/>
      <c r="X14" s="30">
        <f>SUM($W$14:$W$14)</f>
        <v>0</v>
      </c>
      <c r="Y14" s="30">
        <f>'TR TE'!$Y$14*'TR TE'!$Y$48</f>
        <v>0</v>
      </c>
      <c r="Z14" s="30">
        <f>SUM($Y$14:$Y$14)</f>
        <v>0</v>
      </c>
      <c r="AA14" s="30">
        <f>SUMIF($L$4:$Z$4,"SUBTOTAL",$L$14:$Z$14)</f>
        <v>182.45046554232906</v>
      </c>
    </row>
    <row r="15" spans="1:27" ht="11.25" customHeight="1" x14ac:dyDescent="0.3">
      <c r="A15" s="129"/>
      <c r="B15" s="129" t="s">
        <v>83</v>
      </c>
      <c r="C15" s="129" t="s">
        <v>24</v>
      </c>
      <c r="D15" s="33" t="s">
        <v>24</v>
      </c>
      <c r="E15" s="33" t="s">
        <v>25</v>
      </c>
      <c r="F15" s="33" t="s">
        <v>25</v>
      </c>
      <c r="G15" s="32" t="s">
        <v>74</v>
      </c>
      <c r="H15" s="32" t="s">
        <v>67</v>
      </c>
      <c r="I15" s="32">
        <f>'MERCADO TE'!$U$12</f>
        <v>0</v>
      </c>
      <c r="J15" s="17"/>
      <c r="L15" s="30">
        <f>'TR TE'!$L$15*'TR TE'!$L$48</f>
        <v>0</v>
      </c>
      <c r="M15" s="30">
        <f>'TR TE'!$M$15*'TR TE'!$M$48</f>
        <v>0</v>
      </c>
      <c r="N15" s="30">
        <f>'TR TE'!$N$15*'TR TE'!$N$48</f>
        <v>0</v>
      </c>
      <c r="O15" s="30">
        <f>'TR TE'!$O$15*'TR TE'!$O$48</f>
        <v>0</v>
      </c>
      <c r="P15" s="30">
        <f>SUM($L$15:$O$15)</f>
        <v>0</v>
      </c>
      <c r="Q15" s="30">
        <f>'TR TE'!$Q$15*'TR TE'!$Q$48</f>
        <v>182.45046554232906</v>
      </c>
      <c r="R15" s="30">
        <f>SUM($Q$15:$Q$15)</f>
        <v>182.45046554232906</v>
      </c>
      <c r="S15" s="30">
        <f>'TR TE'!$S$15*'TR TE'!$S$48</f>
        <v>0</v>
      </c>
      <c r="T15" s="30">
        <f>'TR TE'!$T$15*'TR TE'!$T$48</f>
        <v>0</v>
      </c>
      <c r="U15" s="30">
        <f>'TR TE'!$U$15*'TR TE'!$U$48</f>
        <v>0</v>
      </c>
      <c r="V15" s="30">
        <f>SUM($S$15:$U$15)</f>
        <v>0</v>
      </c>
      <c r="W15" s="30"/>
      <c r="X15" s="30">
        <f>SUM($W$15:$W$15)</f>
        <v>0</v>
      </c>
      <c r="Y15" s="30">
        <f>'TR TE'!$Y$15*'TR TE'!$Y$48</f>
        <v>0</v>
      </c>
      <c r="Z15" s="30">
        <f>SUM($Y$15:$Y$15)</f>
        <v>0</v>
      </c>
      <c r="AA15" s="30">
        <f>SUMIF($L$4:$Z$4,"SUBTOTAL",$L$15:$Z$15)</f>
        <v>182.45046554232906</v>
      </c>
    </row>
    <row r="16" spans="1:27" ht="11.25" customHeight="1" x14ac:dyDescent="0.3">
      <c r="A16" s="129"/>
      <c r="B16" s="129"/>
      <c r="C16" s="129"/>
      <c r="D16" s="33" t="s">
        <v>29</v>
      </c>
      <c r="E16" s="33" t="s">
        <v>25</v>
      </c>
      <c r="F16" s="33" t="s">
        <v>25</v>
      </c>
      <c r="G16" s="32" t="s">
        <v>74</v>
      </c>
      <c r="H16" s="32" t="s">
        <v>67</v>
      </c>
      <c r="I16" s="32">
        <f>'MERCADO TE'!$U$13</f>
        <v>0</v>
      </c>
      <c r="J16" s="17"/>
      <c r="L16" s="30">
        <f>'TR TE'!$L$16*'TR TE'!$L$48</f>
        <v>0</v>
      </c>
      <c r="M16" s="30">
        <f>'TR TE'!$M$16*'TR TE'!$M$48</f>
        <v>0</v>
      </c>
      <c r="N16" s="30">
        <f>'TR TE'!$N$16*'TR TE'!$N$48</f>
        <v>0</v>
      </c>
      <c r="O16" s="30">
        <f>'TR TE'!$O$16*'TR TE'!$O$48</f>
        <v>0</v>
      </c>
      <c r="P16" s="30">
        <f>SUM($L$16:$O$16)</f>
        <v>0</v>
      </c>
      <c r="Q16" s="30">
        <f>'TR TE'!$Q$16*'TR TE'!$Q$48</f>
        <v>182.45046554232906</v>
      </c>
      <c r="R16" s="30">
        <f>SUM($Q$16:$Q$16)</f>
        <v>182.45046554232906</v>
      </c>
      <c r="S16" s="30">
        <f>'TR TE'!$S$16*'TR TE'!$S$48</f>
        <v>0</v>
      </c>
      <c r="T16" s="30">
        <f>'TR TE'!$T$16*'TR TE'!$T$48</f>
        <v>0</v>
      </c>
      <c r="U16" s="30">
        <f>'TR TE'!$U$16*'TR TE'!$U$48</f>
        <v>0</v>
      </c>
      <c r="V16" s="30">
        <f>SUM($S$16:$U$16)</f>
        <v>0</v>
      </c>
      <c r="W16" s="30"/>
      <c r="X16" s="30">
        <f>SUM($W$16:$W$16)</f>
        <v>0</v>
      </c>
      <c r="Y16" s="30">
        <f>'TR TE'!$Y$16*'TR TE'!$Y$48</f>
        <v>0</v>
      </c>
      <c r="Z16" s="30">
        <f>SUM($Y$16:$Y$16)</f>
        <v>0</v>
      </c>
      <c r="AA16" s="30">
        <f>SUMIF($L$4:$Z$4,"SUBTOTAL",$L$16:$Z$16)</f>
        <v>182.45046554232906</v>
      </c>
    </row>
    <row r="17" spans="1:27" ht="11.25" customHeight="1" x14ac:dyDescent="0.3">
      <c r="A17" s="129"/>
      <c r="B17" s="129"/>
      <c r="C17" s="129"/>
      <c r="D17" s="33" t="s">
        <v>30</v>
      </c>
      <c r="E17" s="33" t="s">
        <v>25</v>
      </c>
      <c r="F17" s="33" t="s">
        <v>25</v>
      </c>
      <c r="G17" s="32" t="s">
        <v>74</v>
      </c>
      <c r="H17" s="32" t="s">
        <v>67</v>
      </c>
      <c r="I17" s="32">
        <f>'MERCADO TE'!$U$14</f>
        <v>0</v>
      </c>
      <c r="J17" s="17"/>
      <c r="L17" s="30">
        <f>'TR TE'!$L$17*'TR TE'!$L$48</f>
        <v>0</v>
      </c>
      <c r="M17" s="30">
        <f>'TR TE'!$M$17*'TR TE'!$M$48</f>
        <v>0</v>
      </c>
      <c r="N17" s="30">
        <f>'TR TE'!$N$17*'TR TE'!$N$48</f>
        <v>0</v>
      </c>
      <c r="O17" s="30">
        <f>'TR TE'!$O$17*'TR TE'!$O$48</f>
        <v>0</v>
      </c>
      <c r="P17" s="30">
        <f>SUM($L$17:$O$17)</f>
        <v>0</v>
      </c>
      <c r="Q17" s="30">
        <f>'TR TE'!$Q$17*'TR TE'!$Q$48</f>
        <v>182.45046554232906</v>
      </c>
      <c r="R17" s="30">
        <f>SUM($Q$17:$Q$17)</f>
        <v>182.45046554232906</v>
      </c>
      <c r="S17" s="30">
        <f>'TR TE'!$S$17*'TR TE'!$S$48</f>
        <v>0</v>
      </c>
      <c r="T17" s="30">
        <f>'TR TE'!$T$17*'TR TE'!$T$48</f>
        <v>0</v>
      </c>
      <c r="U17" s="30">
        <f>'TR TE'!$U$17*'TR TE'!$U$48</f>
        <v>0</v>
      </c>
      <c r="V17" s="30">
        <f>SUM($S$17:$U$17)</f>
        <v>0</v>
      </c>
      <c r="W17" s="30"/>
      <c r="X17" s="30">
        <f>SUM($W$17:$W$17)</f>
        <v>0</v>
      </c>
      <c r="Y17" s="30">
        <f>'TR TE'!$Y$17*'TR TE'!$Y$48</f>
        <v>0</v>
      </c>
      <c r="Z17" s="30">
        <f>SUM($Y$17:$Y$17)</f>
        <v>0</v>
      </c>
      <c r="AA17" s="30">
        <f>SUMIF($L$4:$Z$4,"SUBTOTAL",$L$17:$Z$17)</f>
        <v>182.45046554232906</v>
      </c>
    </row>
    <row r="18" spans="1:27" ht="11.25" customHeight="1" x14ac:dyDescent="0.3">
      <c r="A18" s="129"/>
      <c r="B18" s="129"/>
      <c r="C18" s="129"/>
      <c r="D18" s="33" t="s">
        <v>31</v>
      </c>
      <c r="E18" s="33" t="s">
        <v>25</v>
      </c>
      <c r="F18" s="33" t="s">
        <v>25</v>
      </c>
      <c r="G18" s="32" t="s">
        <v>74</v>
      </c>
      <c r="H18" s="32" t="s">
        <v>67</v>
      </c>
      <c r="I18" s="32">
        <f>'MERCADO TE'!$U$15</f>
        <v>0</v>
      </c>
      <c r="J18" s="17"/>
      <c r="L18" s="30">
        <f>'TR TE'!$L$18*'TR TE'!$L$48</f>
        <v>0</v>
      </c>
      <c r="M18" s="30">
        <f>'TR TE'!$M$18*'TR TE'!$M$48</f>
        <v>0</v>
      </c>
      <c r="N18" s="30">
        <f>'TR TE'!$N$18*'TR TE'!$N$48</f>
        <v>0</v>
      </c>
      <c r="O18" s="30">
        <f>'TR TE'!$O$18*'TR TE'!$O$48</f>
        <v>0</v>
      </c>
      <c r="P18" s="30">
        <f>SUM($L$18:$O$18)</f>
        <v>0</v>
      </c>
      <c r="Q18" s="30">
        <f>'TR TE'!$Q$18*'TR TE'!$Q$48</f>
        <v>182.45046554232906</v>
      </c>
      <c r="R18" s="30">
        <f>SUM($Q$18:$Q$18)</f>
        <v>182.45046554232906</v>
      </c>
      <c r="S18" s="30">
        <f>'TR TE'!$S$18*'TR TE'!$S$48</f>
        <v>0</v>
      </c>
      <c r="T18" s="30">
        <f>'TR TE'!$T$18*'TR TE'!$T$48</f>
        <v>0</v>
      </c>
      <c r="U18" s="30">
        <f>'TR TE'!$U$18*'TR TE'!$U$48</f>
        <v>0</v>
      </c>
      <c r="V18" s="30">
        <f>SUM($S$18:$U$18)</f>
        <v>0</v>
      </c>
      <c r="W18" s="30"/>
      <c r="X18" s="30">
        <f>SUM($W$18:$W$18)</f>
        <v>0</v>
      </c>
      <c r="Y18" s="30">
        <f>'TR TE'!$Y$18*'TR TE'!$Y$48</f>
        <v>0</v>
      </c>
      <c r="Z18" s="30">
        <f>SUM($Y$18:$Y$18)</f>
        <v>0</v>
      </c>
      <c r="AA18" s="30">
        <f>SUMIF($L$4:$Z$4,"SUBTOTAL",$L$18:$Z$18)</f>
        <v>182.45046554232906</v>
      </c>
    </row>
    <row r="19" spans="1:27" ht="11.25" customHeight="1" x14ac:dyDescent="0.3">
      <c r="A19" s="129"/>
      <c r="B19" s="129"/>
      <c r="C19" s="129"/>
      <c r="D19" s="33" t="s">
        <v>32</v>
      </c>
      <c r="E19" s="33" t="s">
        <v>25</v>
      </c>
      <c r="F19" s="33" t="s">
        <v>25</v>
      </c>
      <c r="G19" s="32" t="s">
        <v>74</v>
      </c>
      <c r="H19" s="32" t="s">
        <v>67</v>
      </c>
      <c r="I19" s="32">
        <f>'MERCADO TE'!$U$16</f>
        <v>0</v>
      </c>
      <c r="J19" s="17"/>
      <c r="L19" s="30">
        <f>'TR TE'!$L$19*'TR TE'!$L$48</f>
        <v>0</v>
      </c>
      <c r="M19" s="30">
        <f>'TR TE'!$M$19*'TR TE'!$M$48</f>
        <v>0</v>
      </c>
      <c r="N19" s="30">
        <f>'TR TE'!$N$19*'TR TE'!$N$48</f>
        <v>0</v>
      </c>
      <c r="O19" s="30">
        <f>'TR TE'!$O$19*'TR TE'!$O$48</f>
        <v>0</v>
      </c>
      <c r="P19" s="30">
        <f>SUM($L$19:$O$19)</f>
        <v>0</v>
      </c>
      <c r="Q19" s="30">
        <f>'TR TE'!$Q$19*'TR TE'!$Q$48</f>
        <v>182.45046554232906</v>
      </c>
      <c r="R19" s="30">
        <f>SUM($Q$19:$Q$19)</f>
        <v>182.45046554232906</v>
      </c>
      <c r="S19" s="30">
        <f>'TR TE'!$S$19*'TR TE'!$S$48</f>
        <v>0</v>
      </c>
      <c r="T19" s="30">
        <f>'TR TE'!$T$19*'TR TE'!$T$48</f>
        <v>0</v>
      </c>
      <c r="U19" s="30">
        <f>'TR TE'!$U$19*'TR TE'!$U$48</f>
        <v>0</v>
      </c>
      <c r="V19" s="30">
        <f>SUM($S$19:$U$19)</f>
        <v>0</v>
      </c>
      <c r="W19" s="30"/>
      <c r="X19" s="30">
        <f>SUM($W$19:$W$19)</f>
        <v>0</v>
      </c>
      <c r="Y19" s="30">
        <f>'TR TE'!$Y$19*'TR TE'!$Y$48</f>
        <v>0</v>
      </c>
      <c r="Z19" s="30">
        <f>SUM($Y$19:$Y$19)</f>
        <v>0</v>
      </c>
      <c r="AA19" s="30">
        <f>SUMIF($L$4:$Z$4,"SUBTOTAL",$L$19:$Z$19)</f>
        <v>182.45046554232906</v>
      </c>
    </row>
    <row r="20" spans="1:27" ht="11.25" customHeight="1" x14ac:dyDescent="0.3">
      <c r="A20" s="129" t="s">
        <v>40</v>
      </c>
      <c r="B20" s="129" t="s">
        <v>66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2" t="s">
        <v>68</v>
      </c>
      <c r="H20" s="32" t="s">
        <v>67</v>
      </c>
      <c r="I20" s="32">
        <f>'MERCADO TE'!$U$17</f>
        <v>0</v>
      </c>
      <c r="J20" s="17"/>
      <c r="L20" s="30">
        <f>'TR TE'!$L$20*'TR TE'!$L$48</f>
        <v>0</v>
      </c>
      <c r="M20" s="30">
        <f>'TR TE'!$M$20*'TR TE'!$M$48</f>
        <v>0</v>
      </c>
      <c r="N20" s="30">
        <f>'TR TE'!$N$20*'TR TE'!$N$48</f>
        <v>0</v>
      </c>
      <c r="O20" s="30">
        <f>'TR TE'!$O$20*'TR TE'!$O$48</f>
        <v>0</v>
      </c>
      <c r="P20" s="30">
        <f>SUM($L$20:$O$20)</f>
        <v>0</v>
      </c>
      <c r="Q20" s="30">
        <f>'TR TE'!$Q$20*'TR TE'!$Q$48</f>
        <v>182.45046554232906</v>
      </c>
      <c r="R20" s="30">
        <f>SUM($Q$20:$Q$20)</f>
        <v>182.45046554232906</v>
      </c>
      <c r="S20" s="30">
        <f>'TR TE'!$S$20*'TR TE'!$S$48</f>
        <v>0</v>
      </c>
      <c r="T20" s="30">
        <f>'TR TE'!$T$20*'TR TE'!$T$48</f>
        <v>0</v>
      </c>
      <c r="U20" s="30">
        <f>'TR TE'!$U$20*'TR TE'!$U$48</f>
        <v>0</v>
      </c>
      <c r="V20" s="30">
        <f>SUM($S$20:$U$20)</f>
        <v>0</v>
      </c>
      <c r="W20" s="30"/>
      <c r="X20" s="30">
        <f>SUM($W$20:$W$20)</f>
        <v>0</v>
      </c>
      <c r="Y20" s="30">
        <f>'TR TE'!$Y$20*'TR TE'!$Y$48</f>
        <v>0</v>
      </c>
      <c r="Z20" s="30">
        <f>SUM($Y$20:$Y$20)</f>
        <v>0</v>
      </c>
      <c r="AA20" s="30">
        <f>SUMIF($L$4:$Z$4,"SUBTOTAL",$L$20:$Z$20)</f>
        <v>182.45046554232906</v>
      </c>
    </row>
    <row r="21" spans="1:27" ht="11.25" customHeight="1" x14ac:dyDescent="0.3">
      <c r="A21" s="129"/>
      <c r="B21" s="129"/>
      <c r="C21" s="129"/>
      <c r="D21" s="129"/>
      <c r="E21" s="129"/>
      <c r="F21" s="129"/>
      <c r="G21" s="32" t="s">
        <v>80</v>
      </c>
      <c r="H21" s="32" t="s">
        <v>67</v>
      </c>
      <c r="I21" s="32">
        <f>'MERCADO TE'!$U$18</f>
        <v>0</v>
      </c>
      <c r="J21" s="17"/>
      <c r="L21" s="30">
        <f>'TR TE'!$L$21*'TR TE'!$L$48</f>
        <v>0</v>
      </c>
      <c r="M21" s="30">
        <f>'TR TE'!$M$21*'TR TE'!$M$48</f>
        <v>0</v>
      </c>
      <c r="N21" s="30">
        <f>'TR TE'!$N$21*'TR TE'!$N$48</f>
        <v>0</v>
      </c>
      <c r="O21" s="30">
        <f>'TR TE'!$O$21*'TR TE'!$O$48</f>
        <v>0</v>
      </c>
      <c r="P21" s="30">
        <f>SUM($L$21:$O$21)</f>
        <v>0</v>
      </c>
      <c r="Q21" s="30">
        <f>'TR TE'!$Q$21*'TR TE'!$Q$48</f>
        <v>182.45046554232906</v>
      </c>
      <c r="R21" s="30">
        <f>SUM($Q$21:$Q$21)</f>
        <v>182.45046554232906</v>
      </c>
      <c r="S21" s="30">
        <f>'TR TE'!$S$21*'TR TE'!$S$48</f>
        <v>0</v>
      </c>
      <c r="T21" s="30">
        <f>'TR TE'!$T$21*'TR TE'!$T$48</f>
        <v>0</v>
      </c>
      <c r="U21" s="30">
        <f>'TR TE'!$U$21*'TR TE'!$U$48</f>
        <v>0</v>
      </c>
      <c r="V21" s="30">
        <f>SUM($S$21:$U$21)</f>
        <v>0</v>
      </c>
      <c r="W21" s="30"/>
      <c r="X21" s="30">
        <f>SUM($W$21:$W$21)</f>
        <v>0</v>
      </c>
      <c r="Y21" s="30">
        <f>'TR TE'!$Y$21*'TR TE'!$Y$48</f>
        <v>0</v>
      </c>
      <c r="Z21" s="30">
        <f>SUM($Y$21:$Y$21)</f>
        <v>0</v>
      </c>
      <c r="AA21" s="30">
        <f>SUMIF($L$4:$Z$4,"SUBTOTAL",$L$21:$Z$21)</f>
        <v>182.45046554232906</v>
      </c>
    </row>
    <row r="22" spans="1:27" ht="11.25" customHeight="1" x14ac:dyDescent="0.3">
      <c r="A22" s="129"/>
      <c r="B22" s="129"/>
      <c r="C22" s="129"/>
      <c r="D22" s="129"/>
      <c r="E22" s="129"/>
      <c r="F22" s="129"/>
      <c r="G22" s="32" t="s">
        <v>69</v>
      </c>
      <c r="H22" s="32" t="s">
        <v>67</v>
      </c>
      <c r="I22" s="32">
        <f>'MERCADO TE'!$U$19</f>
        <v>0</v>
      </c>
      <c r="J22" s="17"/>
      <c r="L22" s="30">
        <f>'TR TE'!$L$22*'TR TE'!$L$48</f>
        <v>0</v>
      </c>
      <c r="M22" s="30">
        <f>'TR TE'!$M$22*'TR TE'!$M$48</f>
        <v>0</v>
      </c>
      <c r="N22" s="30">
        <f>'TR TE'!$N$22*'TR TE'!$N$48</f>
        <v>0</v>
      </c>
      <c r="O22" s="30">
        <f>'TR TE'!$O$22*'TR TE'!$O$48</f>
        <v>0</v>
      </c>
      <c r="P22" s="30">
        <f>SUM($L$22:$O$22)</f>
        <v>0</v>
      </c>
      <c r="Q22" s="30">
        <f>'TR TE'!$Q$22*'TR TE'!$Q$48</f>
        <v>182.45046554232906</v>
      </c>
      <c r="R22" s="30">
        <f>SUM($Q$22:$Q$22)</f>
        <v>182.45046554232906</v>
      </c>
      <c r="S22" s="30">
        <f>'TR TE'!$S$22*'TR TE'!$S$48</f>
        <v>0</v>
      </c>
      <c r="T22" s="30">
        <f>'TR TE'!$T$22*'TR TE'!$T$48</f>
        <v>0</v>
      </c>
      <c r="U22" s="30">
        <f>'TR TE'!$U$22*'TR TE'!$U$48</f>
        <v>0</v>
      </c>
      <c r="V22" s="30">
        <f>SUM($S$22:$U$22)</f>
        <v>0</v>
      </c>
      <c r="W22" s="30"/>
      <c r="X22" s="30">
        <f>SUM($W$22:$W$22)</f>
        <v>0</v>
      </c>
      <c r="Y22" s="30">
        <f>'TR TE'!$Y$22*'TR TE'!$Y$48</f>
        <v>0</v>
      </c>
      <c r="Z22" s="30">
        <f>SUM($Y$22:$Y$22)</f>
        <v>0</v>
      </c>
      <c r="AA22" s="30">
        <f>SUMIF($L$4:$Z$4,"SUBTOTAL",$L$22:$Z$22)</f>
        <v>182.45046554232906</v>
      </c>
    </row>
    <row r="23" spans="1:27" ht="11.25" customHeight="1" x14ac:dyDescent="0.3">
      <c r="A23" s="129"/>
      <c r="B23" s="33" t="s">
        <v>81</v>
      </c>
      <c r="C23" s="33" t="s">
        <v>41</v>
      </c>
      <c r="D23" s="33" t="s">
        <v>25</v>
      </c>
      <c r="E23" s="33" t="s">
        <v>25</v>
      </c>
      <c r="F23" s="33" t="s">
        <v>25</v>
      </c>
      <c r="G23" s="32" t="s">
        <v>74</v>
      </c>
      <c r="H23" s="32" t="s">
        <v>67</v>
      </c>
      <c r="I23" s="32">
        <f>'MERCADO TE'!$U$20</f>
        <v>1516.1360000000004</v>
      </c>
      <c r="J23" s="17"/>
      <c r="L23" s="30">
        <f>'TR TE'!$L$23*'TR TE'!$L$48</f>
        <v>0</v>
      </c>
      <c r="M23" s="30">
        <f>'TR TE'!$M$23*'TR TE'!$M$48</f>
        <v>0</v>
      </c>
      <c r="N23" s="30">
        <f>'TR TE'!$N$23*'TR TE'!$N$48</f>
        <v>0</v>
      </c>
      <c r="O23" s="30">
        <f>'TR TE'!$O$23*'TR TE'!$O$48</f>
        <v>0</v>
      </c>
      <c r="P23" s="30">
        <f>SUM($L$23:$O$23)</f>
        <v>0</v>
      </c>
      <c r="Q23" s="30">
        <f>'TR TE'!$Q$23*'TR TE'!$Q$48</f>
        <v>182.45046554232906</v>
      </c>
      <c r="R23" s="30">
        <f>SUM($Q$23:$Q$23)</f>
        <v>182.45046554232906</v>
      </c>
      <c r="S23" s="30">
        <f>'TR TE'!$S$23*'TR TE'!$S$48</f>
        <v>0</v>
      </c>
      <c r="T23" s="30">
        <f>'TR TE'!$T$23*'TR TE'!$T$48</f>
        <v>0</v>
      </c>
      <c r="U23" s="30">
        <f>'TR TE'!$U$23*'TR TE'!$U$48</f>
        <v>0</v>
      </c>
      <c r="V23" s="30">
        <f>SUM($S$23:$U$23)</f>
        <v>0</v>
      </c>
      <c r="W23" s="30"/>
      <c r="X23" s="30">
        <f>SUM($W$23:$W$23)</f>
        <v>0</v>
      </c>
      <c r="Y23" s="30">
        <f>'TR TE'!$Y$23*'TR TE'!$Y$48</f>
        <v>0</v>
      </c>
      <c r="Z23" s="30">
        <f>SUM($Y$23:$Y$23)</f>
        <v>0</v>
      </c>
      <c r="AA23" s="30">
        <f>SUMIF($L$4:$Z$4,"SUBTOTAL",$L$23:$Z$23)</f>
        <v>182.45046554232906</v>
      </c>
    </row>
    <row r="24" spans="1:27" ht="11.25" customHeight="1" x14ac:dyDescent="0.3">
      <c r="A24" s="129"/>
      <c r="B24" s="129" t="s">
        <v>66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2" t="s">
        <v>68</v>
      </c>
      <c r="H24" s="32" t="s">
        <v>67</v>
      </c>
      <c r="I24" s="32">
        <f>'MERCADO TE'!$U$21</f>
        <v>0</v>
      </c>
      <c r="J24" s="17"/>
      <c r="L24" s="30">
        <f>'TR TE'!$L$24*'TR TE'!$L$48</f>
        <v>0</v>
      </c>
      <c r="M24" s="30">
        <f>'TR TE'!$M$24*'TR TE'!$M$48</f>
        <v>0</v>
      </c>
      <c r="N24" s="30">
        <f>'TR TE'!$N$24*'TR TE'!$N$48</f>
        <v>0</v>
      </c>
      <c r="O24" s="30">
        <f>'TR TE'!$O$24*'TR TE'!$O$48</f>
        <v>0</v>
      </c>
      <c r="P24" s="30">
        <f>SUM($L$24:$O$24)</f>
        <v>0</v>
      </c>
      <c r="Q24" s="30">
        <f>'TR TE'!$Q$24*'TR TE'!$Q$48</f>
        <v>182.45046554232906</v>
      </c>
      <c r="R24" s="30">
        <f>SUM($Q$24:$Q$24)</f>
        <v>182.45046554232906</v>
      </c>
      <c r="S24" s="30">
        <f>'TR TE'!$S$24*'TR TE'!$S$48</f>
        <v>0</v>
      </c>
      <c r="T24" s="30">
        <f>'TR TE'!$T$24*'TR TE'!$T$48</f>
        <v>0</v>
      </c>
      <c r="U24" s="30">
        <f>'TR TE'!$U$24*'TR TE'!$U$48</f>
        <v>0</v>
      </c>
      <c r="V24" s="30">
        <f>SUM($S$24:$U$24)</f>
        <v>0</v>
      </c>
      <c r="W24" s="30"/>
      <c r="X24" s="30">
        <f>SUM($W$24:$W$24)</f>
        <v>0</v>
      </c>
      <c r="Y24" s="30">
        <f>'TR TE'!$Y$24*'TR TE'!$Y$48</f>
        <v>0</v>
      </c>
      <c r="Z24" s="30">
        <f>SUM($Y$24:$Y$24)</f>
        <v>0</v>
      </c>
      <c r="AA24" s="30">
        <f>SUMIF($L$4:$Z$4,"SUBTOTAL",$L$24:$Z$24)</f>
        <v>182.45046554232906</v>
      </c>
    </row>
    <row r="25" spans="1:27" ht="11.25" customHeight="1" x14ac:dyDescent="0.3">
      <c r="A25" s="129"/>
      <c r="B25" s="129"/>
      <c r="C25" s="129"/>
      <c r="D25" s="129"/>
      <c r="E25" s="129"/>
      <c r="F25" s="129"/>
      <c r="G25" s="32" t="s">
        <v>80</v>
      </c>
      <c r="H25" s="32" t="s">
        <v>67</v>
      </c>
      <c r="I25" s="32">
        <f>'MERCADO TE'!$U$22</f>
        <v>0</v>
      </c>
      <c r="J25" s="17"/>
      <c r="L25" s="30">
        <f>'TR TE'!$L$25*'TR TE'!$L$48</f>
        <v>0</v>
      </c>
      <c r="M25" s="30">
        <f>'TR TE'!$M$25*'TR TE'!$M$48</f>
        <v>0</v>
      </c>
      <c r="N25" s="30">
        <f>'TR TE'!$N$25*'TR TE'!$N$48</f>
        <v>0</v>
      </c>
      <c r="O25" s="30">
        <f>'TR TE'!$O$25*'TR TE'!$O$48</f>
        <v>0</v>
      </c>
      <c r="P25" s="30">
        <f>SUM($L$25:$O$25)</f>
        <v>0</v>
      </c>
      <c r="Q25" s="30">
        <f>'TR TE'!$Q$25*'TR TE'!$Q$48</f>
        <v>182.45046554232906</v>
      </c>
      <c r="R25" s="30">
        <f>SUM($Q$25:$Q$25)</f>
        <v>182.45046554232906</v>
      </c>
      <c r="S25" s="30">
        <f>'TR TE'!$S$25*'TR TE'!$S$48</f>
        <v>0</v>
      </c>
      <c r="T25" s="30">
        <f>'TR TE'!$T$25*'TR TE'!$T$48</f>
        <v>0</v>
      </c>
      <c r="U25" s="30">
        <f>'TR TE'!$U$25*'TR TE'!$U$48</f>
        <v>0</v>
      </c>
      <c r="V25" s="30">
        <f>SUM($S$25:$U$25)</f>
        <v>0</v>
      </c>
      <c r="W25" s="30"/>
      <c r="X25" s="30">
        <f>SUM($W$25:$W$25)</f>
        <v>0</v>
      </c>
      <c r="Y25" s="30">
        <f>'TR TE'!$Y$25*'TR TE'!$Y$48</f>
        <v>0</v>
      </c>
      <c r="Z25" s="30">
        <f>SUM($Y$25:$Y$25)</f>
        <v>0</v>
      </c>
      <c r="AA25" s="30">
        <f>SUMIF($L$4:$Z$4,"SUBTOTAL",$L$25:$Z$25)</f>
        <v>182.45046554232906</v>
      </c>
    </row>
    <row r="26" spans="1:27" ht="11.25" customHeight="1" x14ac:dyDescent="0.3">
      <c r="A26" s="129"/>
      <c r="B26" s="129"/>
      <c r="C26" s="129"/>
      <c r="D26" s="129"/>
      <c r="E26" s="129"/>
      <c r="F26" s="129"/>
      <c r="G26" s="32" t="s">
        <v>69</v>
      </c>
      <c r="H26" s="32" t="s">
        <v>67</v>
      </c>
      <c r="I26" s="32">
        <f>'MERCADO TE'!$U$23</f>
        <v>0</v>
      </c>
      <c r="J26" s="17"/>
      <c r="L26" s="30">
        <f>'TR TE'!$L$26*'TR TE'!$L$48</f>
        <v>0</v>
      </c>
      <c r="M26" s="30">
        <f>'TR TE'!$M$26*'TR TE'!$M$48</f>
        <v>0</v>
      </c>
      <c r="N26" s="30">
        <f>'TR TE'!$N$26*'TR TE'!$N$48</f>
        <v>0</v>
      </c>
      <c r="O26" s="30">
        <f>'TR TE'!$O$26*'TR TE'!$O$48</f>
        <v>0</v>
      </c>
      <c r="P26" s="30">
        <f>SUM($L$26:$O$26)</f>
        <v>0</v>
      </c>
      <c r="Q26" s="30">
        <f>'TR TE'!$Q$26*'TR TE'!$Q$48</f>
        <v>182.45046554232906</v>
      </c>
      <c r="R26" s="30">
        <f>SUM($Q$26:$Q$26)</f>
        <v>182.45046554232906</v>
      </c>
      <c r="S26" s="30">
        <f>'TR TE'!$S$26*'TR TE'!$S$48</f>
        <v>0</v>
      </c>
      <c r="T26" s="30">
        <f>'TR TE'!$T$26*'TR TE'!$T$48</f>
        <v>0</v>
      </c>
      <c r="U26" s="30">
        <f>'TR TE'!$U$26*'TR TE'!$U$48</f>
        <v>0</v>
      </c>
      <c r="V26" s="30">
        <f>SUM($S$26:$U$26)</f>
        <v>0</v>
      </c>
      <c r="W26" s="30"/>
      <c r="X26" s="30">
        <f>SUM($W$26:$W$26)</f>
        <v>0</v>
      </c>
      <c r="Y26" s="30">
        <f>'TR TE'!$Y$26*'TR TE'!$Y$48</f>
        <v>0</v>
      </c>
      <c r="Z26" s="30">
        <f>SUM($Y$26:$Y$26)</f>
        <v>0</v>
      </c>
      <c r="AA26" s="30">
        <f>SUMIF($L$4:$Z$4,"SUBTOTAL",$L$26:$Z$26)</f>
        <v>182.45046554232906</v>
      </c>
    </row>
    <row r="27" spans="1:27" ht="11.25" customHeight="1" x14ac:dyDescent="0.3">
      <c r="A27" s="129"/>
      <c r="B27" s="33" t="s">
        <v>81</v>
      </c>
      <c r="C27" s="33" t="s">
        <v>41</v>
      </c>
      <c r="D27" s="33" t="s">
        <v>85</v>
      </c>
      <c r="E27" s="33" t="s">
        <v>25</v>
      </c>
      <c r="F27" s="33" t="s">
        <v>25</v>
      </c>
      <c r="G27" s="32" t="s">
        <v>74</v>
      </c>
      <c r="H27" s="32" t="s">
        <v>67</v>
      </c>
      <c r="I27" s="32">
        <f>'MERCADO TE'!$U$24</f>
        <v>0</v>
      </c>
      <c r="J27" s="17"/>
      <c r="L27" s="30">
        <f>'TR TE'!$L$27*'TR TE'!$L$48</f>
        <v>0</v>
      </c>
      <c r="M27" s="30">
        <f>'TR TE'!$M$27*'TR TE'!$M$48</f>
        <v>0</v>
      </c>
      <c r="N27" s="30">
        <f>'TR TE'!$N$27*'TR TE'!$N$48</f>
        <v>0</v>
      </c>
      <c r="O27" s="30">
        <f>'TR TE'!$O$27*'TR TE'!$O$48</f>
        <v>0</v>
      </c>
      <c r="P27" s="30">
        <f>SUM($L$27:$O$27)</f>
        <v>0</v>
      </c>
      <c r="Q27" s="30">
        <f>'TR TE'!$Q$27*'TR TE'!$Q$48</f>
        <v>182.45046554232906</v>
      </c>
      <c r="R27" s="30">
        <f>SUM($Q$27:$Q$27)</f>
        <v>182.45046554232906</v>
      </c>
      <c r="S27" s="30">
        <f>'TR TE'!$S$27*'TR TE'!$S$48</f>
        <v>0</v>
      </c>
      <c r="T27" s="30">
        <f>'TR TE'!$T$27*'TR TE'!$T$48</f>
        <v>0</v>
      </c>
      <c r="U27" s="30">
        <f>'TR TE'!$U$27*'TR TE'!$U$48</f>
        <v>0</v>
      </c>
      <c r="V27" s="30">
        <f>SUM($S$27:$U$27)</f>
        <v>0</v>
      </c>
      <c r="W27" s="30"/>
      <c r="X27" s="30">
        <f>SUM($W$27:$W$27)</f>
        <v>0</v>
      </c>
      <c r="Y27" s="30">
        <f>'TR TE'!$Y$27*'TR TE'!$Y$48</f>
        <v>0</v>
      </c>
      <c r="Z27" s="30">
        <f>SUM($Y$27:$Y$27)</f>
        <v>0</v>
      </c>
      <c r="AA27" s="30">
        <f>SUMIF($L$4:$Z$4,"SUBTOTAL",$L$27:$Z$27)</f>
        <v>182.45046554232906</v>
      </c>
    </row>
    <row r="28" spans="1:27" ht="11.25" customHeight="1" x14ac:dyDescent="0.3">
      <c r="A28" s="129"/>
      <c r="B28" s="129" t="s">
        <v>66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2" t="s">
        <v>68</v>
      </c>
      <c r="H28" s="32" t="s">
        <v>67</v>
      </c>
      <c r="I28" s="32">
        <f>'MERCADO TE'!$U$25</f>
        <v>0</v>
      </c>
      <c r="J28" s="17"/>
      <c r="L28" s="30">
        <f>'TR TE'!$L$28*'TR TE'!$L$48</f>
        <v>0</v>
      </c>
      <c r="M28" s="30">
        <f>'TR TE'!$M$28*'TR TE'!$M$48</f>
        <v>0</v>
      </c>
      <c r="N28" s="30">
        <f>'TR TE'!$N$28*'TR TE'!$N$48</f>
        <v>0</v>
      </c>
      <c r="O28" s="30">
        <f>'TR TE'!$O$28*'TR TE'!$O$48</f>
        <v>0</v>
      </c>
      <c r="P28" s="30">
        <f>SUM($L$28:$O$28)</f>
        <v>0</v>
      </c>
      <c r="Q28" s="30">
        <f>'TR TE'!$Q$28*'TR TE'!$Q$48</f>
        <v>182.45046554232906</v>
      </c>
      <c r="R28" s="30">
        <f>SUM($Q$28:$Q$28)</f>
        <v>182.45046554232906</v>
      </c>
      <c r="S28" s="30">
        <f>'TR TE'!$S$28*'TR TE'!$S$48</f>
        <v>0</v>
      </c>
      <c r="T28" s="30">
        <f>'TR TE'!$T$28*'TR TE'!$T$48</f>
        <v>0</v>
      </c>
      <c r="U28" s="30">
        <f>'TR TE'!$U$28*'TR TE'!$U$48</f>
        <v>0</v>
      </c>
      <c r="V28" s="30">
        <f>SUM($S$28:$U$28)</f>
        <v>0</v>
      </c>
      <c r="W28" s="30"/>
      <c r="X28" s="30">
        <f>SUM($W$28:$W$28)</f>
        <v>0</v>
      </c>
      <c r="Y28" s="30">
        <f>'TR TE'!$Y$28*'TR TE'!$Y$48</f>
        <v>0</v>
      </c>
      <c r="Z28" s="30">
        <f>SUM($Y$28:$Y$28)</f>
        <v>0</v>
      </c>
      <c r="AA28" s="30">
        <f>SUMIF($L$4:$Z$4,"SUBTOTAL",$L$28:$Z$28)</f>
        <v>182.45046554232906</v>
      </c>
    </row>
    <row r="29" spans="1:27" ht="11.25" customHeight="1" x14ac:dyDescent="0.3">
      <c r="A29" s="129"/>
      <c r="B29" s="129"/>
      <c r="C29" s="129"/>
      <c r="D29" s="129"/>
      <c r="E29" s="129"/>
      <c r="F29" s="129"/>
      <c r="G29" s="32" t="s">
        <v>80</v>
      </c>
      <c r="H29" s="32" t="s">
        <v>67</v>
      </c>
      <c r="I29" s="32">
        <f>'MERCADO TE'!$U$26</f>
        <v>0</v>
      </c>
      <c r="J29" s="17"/>
      <c r="L29" s="30">
        <f>'TR TE'!$L$29*'TR TE'!$L$48</f>
        <v>0</v>
      </c>
      <c r="M29" s="30">
        <f>'TR TE'!$M$29*'TR TE'!$M$48</f>
        <v>0</v>
      </c>
      <c r="N29" s="30">
        <f>'TR TE'!$N$29*'TR TE'!$N$48</f>
        <v>0</v>
      </c>
      <c r="O29" s="30">
        <f>'TR TE'!$O$29*'TR TE'!$O$48</f>
        <v>0</v>
      </c>
      <c r="P29" s="30">
        <f>SUM($L$29:$O$29)</f>
        <v>0</v>
      </c>
      <c r="Q29" s="30">
        <f>'TR TE'!$Q$29*'TR TE'!$Q$48</f>
        <v>182.45046554232906</v>
      </c>
      <c r="R29" s="30">
        <f>SUM($Q$29:$Q$29)</f>
        <v>182.45046554232906</v>
      </c>
      <c r="S29" s="30">
        <f>'TR TE'!$S$29*'TR TE'!$S$48</f>
        <v>0</v>
      </c>
      <c r="T29" s="30">
        <f>'TR TE'!$T$29*'TR TE'!$T$48</f>
        <v>0</v>
      </c>
      <c r="U29" s="30">
        <f>'TR TE'!$U$29*'TR TE'!$U$48</f>
        <v>0</v>
      </c>
      <c r="V29" s="30">
        <f>SUM($S$29:$U$29)</f>
        <v>0</v>
      </c>
      <c r="W29" s="30"/>
      <c r="X29" s="30">
        <f>SUM($W$29:$W$29)</f>
        <v>0</v>
      </c>
      <c r="Y29" s="30">
        <f>'TR TE'!$Y$29*'TR TE'!$Y$48</f>
        <v>0</v>
      </c>
      <c r="Z29" s="30">
        <f>SUM($Y$29:$Y$29)</f>
        <v>0</v>
      </c>
      <c r="AA29" s="30">
        <f>SUMIF($L$4:$Z$4,"SUBTOTAL",$L$29:$Z$29)</f>
        <v>182.45046554232906</v>
      </c>
    </row>
    <row r="30" spans="1:27" ht="11.25" customHeight="1" x14ac:dyDescent="0.3">
      <c r="A30" s="129"/>
      <c r="B30" s="129"/>
      <c r="C30" s="129"/>
      <c r="D30" s="129"/>
      <c r="E30" s="129"/>
      <c r="F30" s="129"/>
      <c r="G30" s="32" t="s">
        <v>69</v>
      </c>
      <c r="H30" s="32" t="s">
        <v>67</v>
      </c>
      <c r="I30" s="32">
        <f>'MERCADO TE'!$U$27</f>
        <v>0</v>
      </c>
      <c r="J30" s="17"/>
      <c r="L30" s="30">
        <f>'TR TE'!$L$30*'TR TE'!$L$48</f>
        <v>0</v>
      </c>
      <c r="M30" s="30">
        <f>'TR TE'!$M$30*'TR TE'!$M$48</f>
        <v>0</v>
      </c>
      <c r="N30" s="30">
        <f>'TR TE'!$N$30*'TR TE'!$N$48</f>
        <v>0</v>
      </c>
      <c r="O30" s="30">
        <f>'TR TE'!$O$30*'TR TE'!$O$48</f>
        <v>0</v>
      </c>
      <c r="P30" s="30">
        <f>SUM($L$30:$O$30)</f>
        <v>0</v>
      </c>
      <c r="Q30" s="30">
        <f>'TR TE'!$Q$30*'TR TE'!$Q$48</f>
        <v>182.45046554232906</v>
      </c>
      <c r="R30" s="30">
        <f>SUM($Q$30:$Q$30)</f>
        <v>182.45046554232906</v>
      </c>
      <c r="S30" s="30">
        <f>'TR TE'!$S$30*'TR TE'!$S$48</f>
        <v>0</v>
      </c>
      <c r="T30" s="30">
        <f>'TR TE'!$T$30*'TR TE'!$T$48</f>
        <v>0</v>
      </c>
      <c r="U30" s="30">
        <f>'TR TE'!$U$30*'TR TE'!$U$48</f>
        <v>0</v>
      </c>
      <c r="V30" s="30">
        <f>SUM($S$30:$U$30)</f>
        <v>0</v>
      </c>
      <c r="W30" s="30"/>
      <c r="X30" s="30">
        <f>SUM($W$30:$W$30)</f>
        <v>0</v>
      </c>
      <c r="Y30" s="30">
        <f>'TR TE'!$Y$30*'TR TE'!$Y$48</f>
        <v>0</v>
      </c>
      <c r="Z30" s="30">
        <f>SUM($Y$30:$Y$30)</f>
        <v>0</v>
      </c>
      <c r="AA30" s="30">
        <f>SUMIF($L$4:$Z$4,"SUBTOTAL",$L$30:$Z$30)</f>
        <v>182.45046554232906</v>
      </c>
    </row>
    <row r="31" spans="1:27" ht="11.25" customHeight="1" x14ac:dyDescent="0.3">
      <c r="A31" s="129"/>
      <c r="B31" s="33" t="s">
        <v>81</v>
      </c>
      <c r="C31" s="33" t="s">
        <v>41</v>
      </c>
      <c r="D31" s="33" t="s">
        <v>86</v>
      </c>
      <c r="E31" s="33" t="s">
        <v>25</v>
      </c>
      <c r="F31" s="33" t="s">
        <v>25</v>
      </c>
      <c r="G31" s="32" t="s">
        <v>74</v>
      </c>
      <c r="H31" s="32" t="s">
        <v>67</v>
      </c>
      <c r="I31" s="32">
        <f>'MERCADO TE'!$U$28</f>
        <v>0</v>
      </c>
      <c r="J31" s="17"/>
      <c r="L31" s="30">
        <f>'TR TE'!$L$31*'TR TE'!$L$48</f>
        <v>0</v>
      </c>
      <c r="M31" s="30">
        <f>'TR TE'!$M$31*'TR TE'!$M$48</f>
        <v>0</v>
      </c>
      <c r="N31" s="30">
        <f>'TR TE'!$N$31*'TR TE'!$N$48</f>
        <v>0</v>
      </c>
      <c r="O31" s="30">
        <f>'TR TE'!$O$31*'TR TE'!$O$48</f>
        <v>0</v>
      </c>
      <c r="P31" s="30">
        <f>SUM($L$31:$O$31)</f>
        <v>0</v>
      </c>
      <c r="Q31" s="30">
        <f>'TR TE'!$Q$31*'TR TE'!$Q$48</f>
        <v>182.45046554232906</v>
      </c>
      <c r="R31" s="30">
        <f>SUM($Q$31:$Q$31)</f>
        <v>182.45046554232906</v>
      </c>
      <c r="S31" s="30">
        <f>'TR TE'!$S$31*'TR TE'!$S$48</f>
        <v>0</v>
      </c>
      <c r="T31" s="30">
        <f>'TR TE'!$T$31*'TR TE'!$T$48</f>
        <v>0</v>
      </c>
      <c r="U31" s="30">
        <f>'TR TE'!$U$31*'TR TE'!$U$48</f>
        <v>0</v>
      </c>
      <c r="V31" s="30">
        <f>SUM($S$31:$U$31)</f>
        <v>0</v>
      </c>
      <c r="W31" s="30"/>
      <c r="X31" s="30">
        <f>SUM($W$31:$W$31)</f>
        <v>0</v>
      </c>
      <c r="Y31" s="30">
        <f>'TR TE'!$Y$31*'TR TE'!$Y$48</f>
        <v>0</v>
      </c>
      <c r="Z31" s="30">
        <f>SUM($Y$31:$Y$31)</f>
        <v>0</v>
      </c>
      <c r="AA31" s="30">
        <f>SUMIF($L$4:$Z$4,"SUBTOTAL",$L$31:$Z$31)</f>
        <v>182.45046554232906</v>
      </c>
    </row>
    <row r="32" spans="1:27" ht="11.25" customHeight="1" x14ac:dyDescent="0.3">
      <c r="A32" s="129"/>
      <c r="B32" s="129" t="s">
        <v>83</v>
      </c>
      <c r="C32" s="129" t="s">
        <v>41</v>
      </c>
      <c r="D32" s="33" t="s">
        <v>25</v>
      </c>
      <c r="E32" s="33" t="s">
        <v>25</v>
      </c>
      <c r="F32" s="33" t="s">
        <v>25</v>
      </c>
      <c r="G32" s="32" t="s">
        <v>74</v>
      </c>
      <c r="H32" s="32" t="s">
        <v>67</v>
      </c>
      <c r="I32" s="32">
        <f>'MERCADO TE'!$U$29</f>
        <v>0</v>
      </c>
      <c r="J32" s="17"/>
      <c r="L32" s="30">
        <f>'TR TE'!$L$32*'TR TE'!$L$48</f>
        <v>0</v>
      </c>
      <c r="M32" s="30">
        <f>'TR TE'!$M$32*'TR TE'!$M$48</f>
        <v>0</v>
      </c>
      <c r="N32" s="30">
        <f>'TR TE'!$N$32*'TR TE'!$N$48</f>
        <v>0</v>
      </c>
      <c r="O32" s="30">
        <f>'TR TE'!$O$32*'TR TE'!$O$48</f>
        <v>0</v>
      </c>
      <c r="P32" s="30">
        <f>SUM($L$32:$O$32)</f>
        <v>0</v>
      </c>
      <c r="Q32" s="30">
        <f>'TR TE'!$Q$32*'TR TE'!$Q$48</f>
        <v>182.45046554232906</v>
      </c>
      <c r="R32" s="30">
        <f>SUM($Q$32:$Q$32)</f>
        <v>182.45046554232906</v>
      </c>
      <c r="S32" s="30">
        <f>'TR TE'!$S$32*'TR TE'!$S$48</f>
        <v>0</v>
      </c>
      <c r="T32" s="30">
        <f>'TR TE'!$T$32*'TR TE'!$T$48</f>
        <v>0</v>
      </c>
      <c r="U32" s="30">
        <f>'TR TE'!$U$32*'TR TE'!$U$48</f>
        <v>0</v>
      </c>
      <c r="V32" s="30">
        <f>SUM($S$32:$U$32)</f>
        <v>0</v>
      </c>
      <c r="W32" s="30"/>
      <c r="X32" s="30">
        <f>SUM($W$32:$W$32)</f>
        <v>0</v>
      </c>
      <c r="Y32" s="30">
        <f>'TR TE'!$Y$32*'TR TE'!$Y$48</f>
        <v>0</v>
      </c>
      <c r="Z32" s="30">
        <f>SUM($Y$32:$Y$32)</f>
        <v>0</v>
      </c>
      <c r="AA32" s="30">
        <f>SUMIF($L$4:$Z$4,"SUBTOTAL",$L$32:$Z$32)</f>
        <v>182.45046554232906</v>
      </c>
    </row>
    <row r="33" spans="1:27" ht="11.25" customHeight="1" x14ac:dyDescent="0.3">
      <c r="A33" s="129"/>
      <c r="B33" s="129"/>
      <c r="C33" s="129"/>
      <c r="D33" s="33" t="s">
        <v>85</v>
      </c>
      <c r="E33" s="33" t="s">
        <v>25</v>
      </c>
      <c r="F33" s="33" t="s">
        <v>25</v>
      </c>
      <c r="G33" s="32" t="s">
        <v>74</v>
      </c>
      <c r="H33" s="32" t="s">
        <v>67</v>
      </c>
      <c r="I33" s="32">
        <f>'MERCADO TE'!$U$30</f>
        <v>0</v>
      </c>
      <c r="J33" s="17"/>
      <c r="L33" s="30">
        <f>'TR TE'!$L$33*'TR TE'!$L$48</f>
        <v>0</v>
      </c>
      <c r="M33" s="30">
        <f>'TR TE'!$M$33*'TR TE'!$M$48</f>
        <v>0</v>
      </c>
      <c r="N33" s="30">
        <f>'TR TE'!$N$33*'TR TE'!$N$48</f>
        <v>0</v>
      </c>
      <c r="O33" s="30">
        <f>'TR TE'!$O$33*'TR TE'!$O$48</f>
        <v>0</v>
      </c>
      <c r="P33" s="30">
        <f>SUM($L$33:$O$33)</f>
        <v>0</v>
      </c>
      <c r="Q33" s="30">
        <f>'TR TE'!$Q$33*'TR TE'!$Q$48</f>
        <v>182.45046554232906</v>
      </c>
      <c r="R33" s="30">
        <f>SUM($Q$33:$Q$33)</f>
        <v>182.45046554232906</v>
      </c>
      <c r="S33" s="30">
        <f>'TR TE'!$S$33*'TR TE'!$S$48</f>
        <v>0</v>
      </c>
      <c r="T33" s="30">
        <f>'TR TE'!$T$33*'TR TE'!$T$48</f>
        <v>0</v>
      </c>
      <c r="U33" s="30">
        <f>'TR TE'!$U$33*'TR TE'!$U$48</f>
        <v>0</v>
      </c>
      <c r="V33" s="30">
        <f>SUM($S$33:$U$33)</f>
        <v>0</v>
      </c>
      <c r="W33" s="30"/>
      <c r="X33" s="30">
        <f>SUM($W$33:$W$33)</f>
        <v>0</v>
      </c>
      <c r="Y33" s="30">
        <f>'TR TE'!$Y$33*'TR TE'!$Y$48</f>
        <v>0</v>
      </c>
      <c r="Z33" s="30">
        <f>SUM($Y$33:$Y$33)</f>
        <v>0</v>
      </c>
      <c r="AA33" s="30">
        <f>SUMIF($L$4:$Z$4,"SUBTOTAL",$L$33:$Z$33)</f>
        <v>182.45046554232906</v>
      </c>
    </row>
    <row r="34" spans="1:27" ht="11.25" customHeight="1" x14ac:dyDescent="0.3">
      <c r="A34" s="129"/>
      <c r="B34" s="129"/>
      <c r="C34" s="129"/>
      <c r="D34" s="33" t="s">
        <v>86</v>
      </c>
      <c r="E34" s="33" t="s">
        <v>25</v>
      </c>
      <c r="F34" s="33" t="s">
        <v>25</v>
      </c>
      <c r="G34" s="32" t="s">
        <v>74</v>
      </c>
      <c r="H34" s="32" t="s">
        <v>67</v>
      </c>
      <c r="I34" s="32">
        <f>'MERCADO TE'!$U$31</f>
        <v>0</v>
      </c>
      <c r="J34" s="17"/>
      <c r="L34" s="30">
        <f>'TR TE'!$L$34*'TR TE'!$L$48</f>
        <v>0</v>
      </c>
      <c r="M34" s="30">
        <f>'TR TE'!$M$34*'TR TE'!$M$48</f>
        <v>0</v>
      </c>
      <c r="N34" s="30">
        <f>'TR TE'!$N$34*'TR TE'!$N$48</f>
        <v>0</v>
      </c>
      <c r="O34" s="30">
        <f>'TR TE'!$O$34*'TR TE'!$O$48</f>
        <v>0</v>
      </c>
      <c r="P34" s="30">
        <f>SUM($L$34:$O$34)</f>
        <v>0</v>
      </c>
      <c r="Q34" s="30">
        <f>'TR TE'!$Q$34*'TR TE'!$Q$48</f>
        <v>182.45046554232906</v>
      </c>
      <c r="R34" s="30">
        <f>SUM($Q$34:$Q$34)</f>
        <v>182.45046554232906</v>
      </c>
      <c r="S34" s="30">
        <f>'TR TE'!$S$34*'TR TE'!$S$48</f>
        <v>0</v>
      </c>
      <c r="T34" s="30">
        <f>'TR TE'!$T$34*'TR TE'!$T$48</f>
        <v>0</v>
      </c>
      <c r="U34" s="30">
        <f>'TR TE'!$U$34*'TR TE'!$U$48</f>
        <v>0</v>
      </c>
      <c r="V34" s="30">
        <f>SUM($S$34:$U$34)</f>
        <v>0</v>
      </c>
      <c r="W34" s="30"/>
      <c r="X34" s="30">
        <f>SUM($W$34:$W$34)</f>
        <v>0</v>
      </c>
      <c r="Y34" s="30">
        <f>'TR TE'!$Y$34*'TR TE'!$Y$48</f>
        <v>0</v>
      </c>
      <c r="Z34" s="30">
        <f>SUM($Y$34:$Y$34)</f>
        <v>0</v>
      </c>
      <c r="AA34" s="30">
        <f>SUMIF($L$4:$Z$4,"SUBTOTAL",$L$34:$Z$34)</f>
        <v>182.45046554232906</v>
      </c>
    </row>
    <row r="35" spans="1:27" ht="11.25" customHeight="1" x14ac:dyDescent="0.3">
      <c r="A35" s="129" t="s">
        <v>33</v>
      </c>
      <c r="B35" s="129" t="s">
        <v>66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2" t="s">
        <v>68</v>
      </c>
      <c r="H35" s="32" t="s">
        <v>67</v>
      </c>
      <c r="I35" s="32">
        <f>'MERCADO TE'!$U$32</f>
        <v>0</v>
      </c>
      <c r="J35" s="17"/>
      <c r="L35" s="30">
        <f>'TR TE'!$L$35*'TR TE'!$L$48</f>
        <v>0</v>
      </c>
      <c r="M35" s="30">
        <f>'TR TE'!$M$35*'TR TE'!$M$48</f>
        <v>0</v>
      </c>
      <c r="N35" s="30">
        <f>'TR TE'!$N$35*'TR TE'!$N$48</f>
        <v>0</v>
      </c>
      <c r="O35" s="30">
        <f>'TR TE'!$O$35*'TR TE'!$O$48</f>
        <v>0</v>
      </c>
      <c r="P35" s="30">
        <f>SUM($L$35:$O$35)</f>
        <v>0</v>
      </c>
      <c r="Q35" s="30">
        <f>'TR TE'!$Q$35*'TR TE'!$Q$48</f>
        <v>182.45046554232906</v>
      </c>
      <c r="R35" s="30">
        <f>SUM($Q$35:$Q$35)</f>
        <v>182.45046554232906</v>
      </c>
      <c r="S35" s="30">
        <f>'TR TE'!$S$35*'TR TE'!$S$48</f>
        <v>0</v>
      </c>
      <c r="T35" s="30">
        <f>'TR TE'!$T$35*'TR TE'!$T$48</f>
        <v>0</v>
      </c>
      <c r="U35" s="30">
        <f>'TR TE'!$U$35*'TR TE'!$U$48</f>
        <v>0</v>
      </c>
      <c r="V35" s="30">
        <f>SUM($S$35:$U$35)</f>
        <v>0</v>
      </c>
      <c r="W35" s="30"/>
      <c r="X35" s="30">
        <f>SUM($W$35:$W$35)</f>
        <v>0</v>
      </c>
      <c r="Y35" s="30">
        <f>'TR TE'!$Y$35*'TR TE'!$Y$48</f>
        <v>0</v>
      </c>
      <c r="Z35" s="30">
        <f>SUM($Y$35:$Y$35)</f>
        <v>0</v>
      </c>
      <c r="AA35" s="30">
        <f>SUMIF($L$4:$Z$4,"SUBTOTAL",$L$35:$Z$35)</f>
        <v>182.45046554232906</v>
      </c>
    </row>
    <row r="36" spans="1:27" ht="11.25" customHeight="1" x14ac:dyDescent="0.3">
      <c r="A36" s="129"/>
      <c r="B36" s="129"/>
      <c r="C36" s="129"/>
      <c r="D36" s="129"/>
      <c r="E36" s="129"/>
      <c r="F36" s="129"/>
      <c r="G36" s="32" t="s">
        <v>80</v>
      </c>
      <c r="H36" s="32" t="s">
        <v>67</v>
      </c>
      <c r="I36" s="32">
        <f>'MERCADO TE'!$U$33</f>
        <v>0</v>
      </c>
      <c r="J36" s="17"/>
      <c r="L36" s="30">
        <f>'TR TE'!$L$36*'TR TE'!$L$48</f>
        <v>0</v>
      </c>
      <c r="M36" s="30">
        <f>'TR TE'!$M$36*'TR TE'!$M$48</f>
        <v>0</v>
      </c>
      <c r="N36" s="30">
        <f>'TR TE'!$N$36*'TR TE'!$N$48</f>
        <v>0</v>
      </c>
      <c r="O36" s="30">
        <f>'TR TE'!$O$36*'TR TE'!$O$48</f>
        <v>0</v>
      </c>
      <c r="P36" s="30">
        <f>SUM($L$36:$O$36)</f>
        <v>0</v>
      </c>
      <c r="Q36" s="30">
        <f>'TR TE'!$Q$36*'TR TE'!$Q$48</f>
        <v>182.45046554232906</v>
      </c>
      <c r="R36" s="30">
        <f>SUM($Q$36:$Q$36)</f>
        <v>182.45046554232906</v>
      </c>
      <c r="S36" s="30">
        <f>'TR TE'!$S$36*'TR TE'!$S$48</f>
        <v>0</v>
      </c>
      <c r="T36" s="30">
        <f>'TR TE'!$T$36*'TR TE'!$T$48</f>
        <v>0</v>
      </c>
      <c r="U36" s="30">
        <f>'TR TE'!$U$36*'TR TE'!$U$48</f>
        <v>0</v>
      </c>
      <c r="V36" s="30">
        <f>SUM($S$36:$U$36)</f>
        <v>0</v>
      </c>
      <c r="W36" s="30"/>
      <c r="X36" s="30">
        <f>SUM($W$36:$W$36)</f>
        <v>0</v>
      </c>
      <c r="Y36" s="30">
        <f>'TR TE'!$Y$36*'TR TE'!$Y$48</f>
        <v>0</v>
      </c>
      <c r="Z36" s="30">
        <f>SUM($Y$36:$Y$36)</f>
        <v>0</v>
      </c>
      <c r="AA36" s="30">
        <f>SUMIF($L$4:$Z$4,"SUBTOTAL",$L$36:$Z$36)</f>
        <v>182.45046554232906</v>
      </c>
    </row>
    <row r="37" spans="1:27" ht="11.25" customHeight="1" x14ac:dyDescent="0.3">
      <c r="A37" s="129"/>
      <c r="B37" s="129"/>
      <c r="C37" s="129"/>
      <c r="D37" s="129"/>
      <c r="E37" s="129"/>
      <c r="F37" s="129"/>
      <c r="G37" s="32" t="s">
        <v>69</v>
      </c>
      <c r="H37" s="32" t="s">
        <v>67</v>
      </c>
      <c r="I37" s="32">
        <f>'MERCADO TE'!$U$34</f>
        <v>0</v>
      </c>
      <c r="J37" s="17"/>
      <c r="L37" s="30">
        <f>'TR TE'!$L$37*'TR TE'!$L$48</f>
        <v>0</v>
      </c>
      <c r="M37" s="30">
        <f>'TR TE'!$M$37*'TR TE'!$M$48</f>
        <v>0</v>
      </c>
      <c r="N37" s="30">
        <f>'TR TE'!$N$37*'TR TE'!$N$48</f>
        <v>0</v>
      </c>
      <c r="O37" s="30">
        <f>'TR TE'!$O$37*'TR TE'!$O$48</f>
        <v>0</v>
      </c>
      <c r="P37" s="30">
        <f>SUM($L$37:$O$37)</f>
        <v>0</v>
      </c>
      <c r="Q37" s="30">
        <f>'TR TE'!$Q$37*'TR TE'!$Q$48</f>
        <v>182.45046554232906</v>
      </c>
      <c r="R37" s="30">
        <f>SUM($Q$37:$Q$37)</f>
        <v>182.45046554232906</v>
      </c>
      <c r="S37" s="30">
        <f>'TR TE'!$S$37*'TR TE'!$S$48</f>
        <v>0</v>
      </c>
      <c r="T37" s="30">
        <f>'TR TE'!$T$37*'TR TE'!$T$48</f>
        <v>0</v>
      </c>
      <c r="U37" s="30">
        <f>'TR TE'!$U$37*'TR TE'!$U$48</f>
        <v>0</v>
      </c>
      <c r="V37" s="30">
        <f>SUM($S$37:$U$37)</f>
        <v>0</v>
      </c>
      <c r="W37" s="30"/>
      <c r="X37" s="30">
        <f>SUM($W$37:$W$37)</f>
        <v>0</v>
      </c>
      <c r="Y37" s="30">
        <f>'TR TE'!$Y$37*'TR TE'!$Y$48</f>
        <v>0</v>
      </c>
      <c r="Z37" s="30">
        <f>SUM($Y$37:$Y$37)</f>
        <v>0</v>
      </c>
      <c r="AA37" s="30">
        <f>SUMIF($L$4:$Z$4,"SUBTOTAL",$L$37:$Z$37)</f>
        <v>182.45046554232906</v>
      </c>
    </row>
    <row r="38" spans="1:27" ht="11.25" customHeight="1" x14ac:dyDescent="0.3">
      <c r="A38" s="129"/>
      <c r="B38" s="33" t="s">
        <v>81</v>
      </c>
      <c r="C38" s="33" t="s">
        <v>25</v>
      </c>
      <c r="D38" s="33" t="s">
        <v>25</v>
      </c>
      <c r="E38" s="33" t="s">
        <v>25</v>
      </c>
      <c r="F38" s="33" t="s">
        <v>25</v>
      </c>
      <c r="G38" s="32" t="s">
        <v>74</v>
      </c>
      <c r="H38" s="32" t="s">
        <v>67</v>
      </c>
      <c r="I38" s="32">
        <f>'MERCADO TE'!$U$35</f>
        <v>6518.4639999999999</v>
      </c>
      <c r="J38" s="17"/>
      <c r="L38" s="30">
        <f>'TR TE'!$L$38*'TR TE'!$L$48</f>
        <v>0</v>
      </c>
      <c r="M38" s="30">
        <f>'TR TE'!$M$38*'TR TE'!$M$48</f>
        <v>0</v>
      </c>
      <c r="N38" s="30">
        <f>'TR TE'!$N$38*'TR TE'!$N$48</f>
        <v>0</v>
      </c>
      <c r="O38" s="30">
        <f>'TR TE'!$O$38*'TR TE'!$O$48</f>
        <v>0</v>
      </c>
      <c r="P38" s="30">
        <f>SUM($L$38:$O$38)</f>
        <v>0</v>
      </c>
      <c r="Q38" s="30">
        <f>'TR TE'!$Q$38*'TR TE'!$Q$48</f>
        <v>182.45046554232906</v>
      </c>
      <c r="R38" s="30">
        <f>SUM($Q$38:$Q$38)</f>
        <v>182.45046554232906</v>
      </c>
      <c r="S38" s="30">
        <f>'TR TE'!$S$38*'TR TE'!$S$48</f>
        <v>0</v>
      </c>
      <c r="T38" s="30">
        <f>'TR TE'!$T$38*'TR TE'!$T$48</f>
        <v>0</v>
      </c>
      <c r="U38" s="30">
        <f>'TR TE'!$U$38*'TR TE'!$U$48</f>
        <v>0</v>
      </c>
      <c r="V38" s="30">
        <f>SUM($S$38:$U$38)</f>
        <v>0</v>
      </c>
      <c r="W38" s="30"/>
      <c r="X38" s="30">
        <f>SUM($W$38:$W$38)</f>
        <v>0</v>
      </c>
      <c r="Y38" s="30">
        <f>'TR TE'!$Y$38*'TR TE'!$Y$48</f>
        <v>0</v>
      </c>
      <c r="Z38" s="30">
        <f>SUM($Y$38:$Y$38)</f>
        <v>0</v>
      </c>
      <c r="AA38" s="30">
        <f>SUMIF($L$4:$Z$4,"SUBTOTAL",$L$38:$Z$38)</f>
        <v>182.45046554232906</v>
      </c>
    </row>
    <row r="39" spans="1:27" ht="11.25" customHeight="1" x14ac:dyDescent="0.3">
      <c r="A39" s="129"/>
      <c r="B39" s="33" t="s">
        <v>83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74</v>
      </c>
      <c r="H39" s="32" t="s">
        <v>67</v>
      </c>
      <c r="I39" s="32">
        <f>'MERCADO TE'!$U$36</f>
        <v>0</v>
      </c>
      <c r="J39" s="17"/>
      <c r="L39" s="30">
        <f>'TR TE'!$L$39*'TR TE'!$L$48</f>
        <v>0</v>
      </c>
      <c r="M39" s="30">
        <f>'TR TE'!$M$39*'TR TE'!$M$48</f>
        <v>0</v>
      </c>
      <c r="N39" s="30">
        <f>'TR TE'!$N$39*'TR TE'!$N$48</f>
        <v>0</v>
      </c>
      <c r="O39" s="30">
        <f>'TR TE'!$O$39*'TR TE'!$O$48</f>
        <v>0</v>
      </c>
      <c r="P39" s="30">
        <f>SUM($L$39:$O$39)</f>
        <v>0</v>
      </c>
      <c r="Q39" s="30">
        <f>'TR TE'!$Q$39*'TR TE'!$Q$48</f>
        <v>182.45046554232906</v>
      </c>
      <c r="R39" s="30">
        <f>SUM($Q$39:$Q$39)</f>
        <v>182.45046554232906</v>
      </c>
      <c r="S39" s="30">
        <f>'TR TE'!$S$39*'TR TE'!$S$48</f>
        <v>0</v>
      </c>
      <c r="T39" s="30">
        <f>'TR TE'!$T$39*'TR TE'!$T$48</f>
        <v>0</v>
      </c>
      <c r="U39" s="30">
        <f>'TR TE'!$U$39*'TR TE'!$U$48</f>
        <v>0</v>
      </c>
      <c r="V39" s="30">
        <f>SUM($S$39:$U$39)</f>
        <v>0</v>
      </c>
      <c r="W39" s="30"/>
      <c r="X39" s="30">
        <f>SUM($W$39:$W$39)</f>
        <v>0</v>
      </c>
      <c r="Y39" s="30">
        <f>'TR TE'!$Y$39*'TR TE'!$Y$48</f>
        <v>0</v>
      </c>
      <c r="Z39" s="30">
        <f>SUM($Y$39:$Y$39)</f>
        <v>0</v>
      </c>
      <c r="AA39" s="30">
        <f>SUMIF($L$4:$Z$4,"SUBTOTAL",$L$39:$Z$39)</f>
        <v>182.45046554232906</v>
      </c>
    </row>
    <row r="40" spans="1:27" ht="11.25" customHeight="1" x14ac:dyDescent="0.3">
      <c r="A40" s="129" t="s">
        <v>43</v>
      </c>
      <c r="B40" s="129" t="s">
        <v>81</v>
      </c>
      <c r="C40" s="129" t="s">
        <v>44</v>
      </c>
      <c r="D40" s="33" t="s">
        <v>45</v>
      </c>
      <c r="E40" s="33" t="s">
        <v>25</v>
      </c>
      <c r="F40" s="33" t="s">
        <v>25</v>
      </c>
      <c r="G40" s="32" t="s">
        <v>74</v>
      </c>
      <c r="H40" s="32" t="s">
        <v>67</v>
      </c>
      <c r="I40" s="32">
        <f>'MERCADO TE'!$U$37</f>
        <v>665.90099999999984</v>
      </c>
      <c r="J40" s="17"/>
      <c r="L40" s="30">
        <f>'TR TE'!$L$40*'TR TE'!$L$48</f>
        <v>0</v>
      </c>
      <c r="M40" s="30">
        <f>'TR TE'!$M$40*'TR TE'!$M$48</f>
        <v>0</v>
      </c>
      <c r="N40" s="30">
        <f>'TR TE'!$N$40*'TR TE'!$N$48</f>
        <v>0</v>
      </c>
      <c r="O40" s="30">
        <f>'TR TE'!$O$40*'TR TE'!$O$48</f>
        <v>0</v>
      </c>
      <c r="P40" s="30">
        <f>SUM($L$40:$O$40)</f>
        <v>0</v>
      </c>
      <c r="Q40" s="30">
        <f>'TR TE'!$Q$40*'TR TE'!$Q$48</f>
        <v>96.698746737434405</v>
      </c>
      <c r="R40" s="30">
        <f>SUM($Q$40:$Q$40)</f>
        <v>96.698746737434405</v>
      </c>
      <c r="S40" s="30">
        <f>'TR TE'!$S$40*'TR TE'!$S$48</f>
        <v>0</v>
      </c>
      <c r="T40" s="30">
        <f>'TR TE'!$T$40*'TR TE'!$T$48</f>
        <v>0</v>
      </c>
      <c r="U40" s="30">
        <f>'TR TE'!$U$40*'TR TE'!$U$48</f>
        <v>0</v>
      </c>
      <c r="V40" s="30">
        <f>SUM($S$40:$U$40)</f>
        <v>0</v>
      </c>
      <c r="W40" s="30"/>
      <c r="X40" s="30">
        <f>SUM($W$40:$W$40)</f>
        <v>0</v>
      </c>
      <c r="Y40" s="30">
        <f>'TR TE'!$Y$40*'TR TE'!$Y$48</f>
        <v>0</v>
      </c>
      <c r="Z40" s="30">
        <f>SUM($Y$40:$Y$40)</f>
        <v>0</v>
      </c>
      <c r="AA40" s="30">
        <f>SUMIF($L$4:$Z$4,"SUBTOTAL",$L$40:$Z$40)</f>
        <v>96.698746737434405</v>
      </c>
    </row>
    <row r="41" spans="1:27" ht="11.25" customHeight="1" x14ac:dyDescent="0.3">
      <c r="A41" s="129"/>
      <c r="B41" s="129"/>
      <c r="C41" s="129"/>
      <c r="D41" s="32" t="s">
        <v>87</v>
      </c>
      <c r="E41" s="32" t="s">
        <v>25</v>
      </c>
      <c r="F41" s="32" t="s">
        <v>25</v>
      </c>
      <c r="G41" s="32" t="s">
        <v>74</v>
      </c>
      <c r="H41" s="32" t="s">
        <v>67</v>
      </c>
      <c r="I41" s="32">
        <f>'MERCADO TE'!$U$38</f>
        <v>0</v>
      </c>
      <c r="J41" s="17"/>
      <c r="L41" s="30">
        <f>'TR TE'!$L$41*'TR TE'!$L$48</f>
        <v>0</v>
      </c>
      <c r="M41" s="30">
        <f>'TR TE'!$M$41*'TR TE'!$M$48</f>
        <v>0</v>
      </c>
      <c r="N41" s="30">
        <f>'TR TE'!$N$41*'TR TE'!$N$48</f>
        <v>0</v>
      </c>
      <c r="O41" s="30">
        <f>'TR TE'!$O$41*'TR TE'!$O$48</f>
        <v>0</v>
      </c>
      <c r="P41" s="30">
        <f>SUM($L$41:$O$41)</f>
        <v>0</v>
      </c>
      <c r="Q41" s="30">
        <f>'TR TE'!$Q$41*'TR TE'!$Q$48</f>
        <v>105.82127001455086</v>
      </c>
      <c r="R41" s="30">
        <f>SUM($Q$41:$Q$41)</f>
        <v>105.82127001455086</v>
      </c>
      <c r="S41" s="30">
        <f>'TR TE'!$S$41*'TR TE'!$S$48</f>
        <v>0</v>
      </c>
      <c r="T41" s="30">
        <f>'TR TE'!$T$41*'TR TE'!$T$48</f>
        <v>0</v>
      </c>
      <c r="U41" s="30">
        <f>'TR TE'!$U$41*'TR TE'!$U$48</f>
        <v>0</v>
      </c>
      <c r="V41" s="30">
        <f>SUM($S$41:$U$41)</f>
        <v>0</v>
      </c>
      <c r="W41" s="30"/>
      <c r="X41" s="30">
        <f>SUM($W$41:$W$41)</f>
        <v>0</v>
      </c>
      <c r="Y41" s="30">
        <f>'TR TE'!$Y$41*'TR TE'!$Y$48</f>
        <v>0</v>
      </c>
      <c r="Z41" s="30">
        <f>SUM($Y$41:$Y$41)</f>
        <v>0</v>
      </c>
      <c r="AA41" s="30">
        <f>SUMIF($L$4:$Z$4,"SUBTOTAL",$L$41:$Z$41)</f>
        <v>105.82127001455086</v>
      </c>
    </row>
    <row r="43" spans="1:27" ht="11.25" customHeight="1" x14ac:dyDescent="0.3">
      <c r="K43" s="35" t="s">
        <v>469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3637685.8018519091</v>
      </c>
      <c r="R43" s="30">
        <f t="shared" si="0"/>
        <v>3637685.8018519091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3637685.8018519091</v>
      </c>
    </row>
    <row r="44" spans="1:27" ht="11.25" customHeight="1" x14ac:dyDescent="0.3">
      <c r="K44" s="35" t="s">
        <v>388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3637685.8018519101</v>
      </c>
      <c r="R44" s="30">
        <f>CUSTOS!$D$36</f>
        <v>3637685.8018519101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3637685.8018519101</v>
      </c>
    </row>
    <row r="45" spans="1:27" ht="11.25" customHeight="1" x14ac:dyDescent="0.3">
      <c r="K45" s="35" t="s">
        <v>389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864196.38677906559</v>
      </c>
      <c r="R45" s="30">
        <f>CUSTOS!$E$36</f>
        <v>864196.38677906559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0</v>
      </c>
      <c r="X45" s="30">
        <f>CUSTOS!$E$42</f>
        <v>0</v>
      </c>
      <c r="Y45" s="30">
        <f>CUSTOS!$E$43</f>
        <v>0</v>
      </c>
      <c r="Z45" s="30">
        <f>CUSTOS!$E$44</f>
        <v>0</v>
      </c>
      <c r="AA45" s="30">
        <f>CUSTOS!$E$45</f>
        <v>864196.38677906559</v>
      </c>
    </row>
    <row r="46" spans="1:27" ht="11.25" customHeight="1" x14ac:dyDescent="0.3">
      <c r="K46" s="35" t="s">
        <v>390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3">
      <c r="K47" s="35" t="s">
        <v>470</v>
      </c>
      <c r="L47" s="30">
        <f>'TR TE'!$L$47*L48</f>
        <v>0</v>
      </c>
      <c r="M47" s="30">
        <f>'TR TE'!$M$47*M48</f>
        <v>0</v>
      </c>
      <c r="N47" s="30">
        <f>'TR TE'!$N$47*N48</f>
        <v>0</v>
      </c>
      <c r="O47" s="30">
        <f>'TR TE'!$O$47*O48</f>
        <v>0</v>
      </c>
      <c r="P47" s="30"/>
      <c r="Q47" s="30">
        <f>'TR TE'!$Q$47*Q48</f>
        <v>43.364229485050394</v>
      </c>
      <c r="R47" s="30"/>
      <c r="S47" s="30">
        <f>'TR TE'!$S$47*S48</f>
        <v>0</v>
      </c>
      <c r="T47" s="30">
        <f>'TR TE'!$T$47*T48</f>
        <v>0</v>
      </c>
      <c r="U47" s="30">
        <f>'TR TE'!$U$47*U48</f>
        <v>0</v>
      </c>
      <c r="V47" s="30"/>
      <c r="W47" s="30"/>
      <c r="X47" s="30"/>
      <c r="Y47" s="30">
        <f>'TR TE'!$Y$47*Y48</f>
        <v>0</v>
      </c>
      <c r="Z47" s="30"/>
      <c r="AA47" s="30"/>
    </row>
    <row r="48" spans="1:27" ht="11.25" customHeight="1" x14ac:dyDescent="0.3">
      <c r="K48" s="35" t="s">
        <v>457</v>
      </c>
      <c r="L48" s="30">
        <f>IF(L44&lt;&gt;0,L45/L44,0)</f>
        <v>0</v>
      </c>
      <c r="M48" s="30">
        <f>IF(M44&lt;&gt;0,M45/M44,0)</f>
        <v>0</v>
      </c>
      <c r="N48" s="30">
        <f>IF(N44&lt;&gt;0,N45/N44,0)</f>
        <v>0</v>
      </c>
      <c r="O48" s="30">
        <f>IF(O44&lt;&gt;0,O45/O44,0)</f>
        <v>0</v>
      </c>
      <c r="P48" s="30"/>
      <c r="Q48" s="30">
        <f>IF(Q44&lt;&gt;0,Q45/Q44,0)</f>
        <v>0.23756762784161065</v>
      </c>
      <c r="R48" s="30"/>
      <c r="S48" s="30">
        <f>IF(S44&lt;&gt;0,S45/S44,0)</f>
        <v>0</v>
      </c>
      <c r="T48" s="30">
        <f>IF(T44&lt;&gt;0,T45/T44,0)</f>
        <v>0</v>
      </c>
      <c r="U48" s="30">
        <f>IF(U44&lt;&gt;0,U45/U44,0)</f>
        <v>0</v>
      </c>
      <c r="V48" s="30"/>
      <c r="W48" s="30">
        <f>IF(($AA44-0)&lt;&gt;0,W45/($AA44-0),0)</f>
        <v>0</v>
      </c>
      <c r="X48" s="30"/>
      <c r="Y48" s="30">
        <f>IF(Y44&lt;&gt;0,Y45/Y44,0)</f>
        <v>0</v>
      </c>
      <c r="Z48" s="30"/>
      <c r="AA48" s="30"/>
    </row>
    <row r="49" spans="11:27" ht="11.25" customHeight="1" x14ac:dyDescent="0.3">
      <c r="K49" s="35" t="s">
        <v>472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</sheetData>
  <mergeCells count="61">
    <mergeCell ref="S3:V3"/>
    <mergeCell ref="W3:X3"/>
    <mergeCell ref="A1:A4"/>
    <mergeCell ref="B1:B4"/>
    <mergeCell ref="C1:C4"/>
    <mergeCell ref="D1:D4"/>
    <mergeCell ref="E1:E4"/>
    <mergeCell ref="F1:F4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29" priority="31" operator="notEqual">
      <formula>$L$44</formula>
    </cfRule>
    <cfRule type="cellIs" dxfId="628" priority="32" operator="equal">
      <formula>$L$44</formula>
    </cfRule>
  </conditionalFormatting>
  <conditionalFormatting sqref="M43">
    <cfRule type="cellIs" dxfId="627" priority="29" operator="notEqual">
      <formula>$M$44</formula>
    </cfRule>
    <cfRule type="cellIs" dxfId="626" priority="30" operator="equal">
      <formula>$M$44</formula>
    </cfRule>
  </conditionalFormatting>
  <conditionalFormatting sqref="N43">
    <cfRule type="cellIs" dxfId="625" priority="27" operator="notEqual">
      <formula>$N$44</formula>
    </cfRule>
    <cfRule type="cellIs" dxfId="624" priority="28" operator="equal">
      <formula>$N$44</formula>
    </cfRule>
  </conditionalFormatting>
  <conditionalFormatting sqref="O43">
    <cfRule type="cellIs" dxfId="623" priority="25" operator="notEqual">
      <formula>$O$44</formula>
    </cfRule>
    <cfRule type="cellIs" dxfId="622" priority="26" operator="equal">
      <formula>$O$44</formula>
    </cfRule>
  </conditionalFormatting>
  <conditionalFormatting sqref="P43">
    <cfRule type="cellIs" dxfId="621" priority="23" operator="notEqual">
      <formula>$P$44</formula>
    </cfRule>
    <cfRule type="cellIs" dxfId="620" priority="24" operator="equal">
      <formula>$P$44</formula>
    </cfRule>
  </conditionalFormatting>
  <conditionalFormatting sqref="Q43">
    <cfRule type="cellIs" dxfId="619" priority="21" operator="notEqual">
      <formula>$Q$44</formula>
    </cfRule>
    <cfRule type="cellIs" dxfId="618" priority="22" operator="equal">
      <formula>$Q$44</formula>
    </cfRule>
  </conditionalFormatting>
  <conditionalFormatting sqref="R43">
    <cfRule type="cellIs" dxfId="617" priority="19" operator="notEqual">
      <formula>$R$44</formula>
    </cfRule>
    <cfRule type="cellIs" dxfId="616" priority="20" operator="equal">
      <formula>$R$44</formula>
    </cfRule>
  </conditionalFormatting>
  <conditionalFormatting sqref="S43">
    <cfRule type="cellIs" dxfId="615" priority="17" operator="notEqual">
      <formula>$S$44</formula>
    </cfRule>
    <cfRule type="cellIs" dxfId="614" priority="18" operator="equal">
      <formula>$S$44</formula>
    </cfRule>
  </conditionalFormatting>
  <conditionalFormatting sqref="T43">
    <cfRule type="cellIs" dxfId="613" priority="15" operator="notEqual">
      <formula>$T$44</formula>
    </cfRule>
    <cfRule type="cellIs" dxfId="612" priority="16" operator="equal">
      <formula>$T$44</formula>
    </cfRule>
  </conditionalFormatting>
  <conditionalFormatting sqref="U43">
    <cfRule type="cellIs" dxfId="611" priority="13" operator="notEqual">
      <formula>$U$44</formula>
    </cfRule>
    <cfRule type="cellIs" dxfId="610" priority="14" operator="equal">
      <formula>$U$44</formula>
    </cfRule>
  </conditionalFormatting>
  <conditionalFormatting sqref="V43">
    <cfRule type="cellIs" dxfId="609" priority="11" operator="notEqual">
      <formula>$V$44</formula>
    </cfRule>
    <cfRule type="cellIs" dxfId="608" priority="12" operator="equal">
      <formula>$V$44</formula>
    </cfRule>
  </conditionalFormatting>
  <conditionalFormatting sqref="W43">
    <cfRule type="cellIs" dxfId="607" priority="9" operator="notEqual">
      <formula>$W$44</formula>
    </cfRule>
    <cfRule type="cellIs" dxfId="606" priority="10" operator="equal">
      <formula>$W$44</formula>
    </cfRule>
  </conditionalFormatting>
  <conditionalFormatting sqref="X43">
    <cfRule type="cellIs" dxfId="605" priority="7" operator="notEqual">
      <formula>$X$44</formula>
    </cfRule>
    <cfRule type="cellIs" dxfId="604" priority="8" operator="equal">
      <formula>$X$44</formula>
    </cfRule>
  </conditionalFormatting>
  <conditionalFormatting sqref="Y43">
    <cfRule type="cellIs" dxfId="603" priority="5" operator="notEqual">
      <formula>$Y$44</formula>
    </cfRule>
    <cfRule type="cellIs" dxfId="602" priority="6" operator="equal">
      <formula>$Y$44</formula>
    </cfRule>
  </conditionalFormatting>
  <conditionalFormatting sqref="Z43">
    <cfRule type="cellIs" dxfId="601" priority="3" operator="notEqual">
      <formula>$Z$44</formula>
    </cfRule>
    <cfRule type="cellIs" dxfId="600" priority="4" operator="equal">
      <formula>$Z$44</formula>
    </cfRule>
  </conditionalFormatting>
  <conditionalFormatting sqref="AA43">
    <cfRule type="cellIs" dxfId="599" priority="1" operator="notEqual">
      <formula>$AA$44</formula>
    </cfRule>
    <cfRule type="cellIs" dxfId="598" priority="2" operator="equal">
      <formula>$AA$44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AC44-4636-4EEE-BF36-644D5C5C3E19}">
  <dimension ref="A1:AA49"/>
  <sheetViews>
    <sheetView showGridLines="0" topLeftCell="I28" workbookViewId="0">
      <selection activeCell="AA43" sqref="AA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57</v>
      </c>
      <c r="B1" s="130" t="s">
        <v>58</v>
      </c>
      <c r="C1" s="130" t="s">
        <v>59</v>
      </c>
      <c r="D1" s="130" t="s">
        <v>60</v>
      </c>
      <c r="E1" s="130" t="s">
        <v>61</v>
      </c>
      <c r="F1" s="130" t="s">
        <v>15</v>
      </c>
      <c r="G1" s="130" t="s">
        <v>63</v>
      </c>
      <c r="H1" s="130" t="s">
        <v>64</v>
      </c>
      <c r="I1" s="130" t="s">
        <v>447</v>
      </c>
      <c r="J1" s="115"/>
      <c r="L1" s="131" t="s">
        <v>474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5"/>
      <c r="L2" s="131" t="s">
        <v>375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5"/>
      <c r="L3" s="131" t="s">
        <v>348</v>
      </c>
      <c r="M3" s="131"/>
      <c r="N3" s="131"/>
      <c r="O3" s="131"/>
      <c r="P3" s="131"/>
      <c r="Q3" s="131" t="s">
        <v>378</v>
      </c>
      <c r="R3" s="131"/>
      <c r="S3" s="131" t="s">
        <v>357</v>
      </c>
      <c r="T3" s="131"/>
      <c r="U3" s="131"/>
      <c r="V3" s="131"/>
      <c r="W3" s="131" t="s">
        <v>367</v>
      </c>
      <c r="X3" s="131"/>
      <c r="Y3" s="131" t="s">
        <v>370</v>
      </c>
      <c r="Z3" s="131"/>
      <c r="AA3" s="131" t="s">
        <v>356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5"/>
      <c r="L4" s="36" t="s">
        <v>350</v>
      </c>
      <c r="M4" s="36" t="s">
        <v>376</v>
      </c>
      <c r="N4" s="36" t="s">
        <v>377</v>
      </c>
      <c r="O4" s="36" t="s">
        <v>435</v>
      </c>
      <c r="P4" s="36" t="s">
        <v>356</v>
      </c>
      <c r="Q4" s="36" t="s">
        <v>379</v>
      </c>
      <c r="R4" s="36" t="s">
        <v>356</v>
      </c>
      <c r="S4" s="36" t="s">
        <v>380</v>
      </c>
      <c r="T4" s="36" t="s">
        <v>381</v>
      </c>
      <c r="U4" s="36" t="s">
        <v>382</v>
      </c>
      <c r="V4" s="36" t="s">
        <v>356</v>
      </c>
      <c r="W4" s="36" t="s">
        <v>368</v>
      </c>
      <c r="X4" s="36" t="s">
        <v>356</v>
      </c>
      <c r="Y4" s="36" t="s">
        <v>383</v>
      </c>
      <c r="Z4" s="36" t="s">
        <v>356</v>
      </c>
      <c r="AA4" s="132"/>
    </row>
    <row r="5" spans="1:27" ht="11.25" customHeight="1" x14ac:dyDescent="0.3">
      <c r="A5" s="129" t="s">
        <v>36</v>
      </c>
      <c r="B5" s="129" t="s">
        <v>66</v>
      </c>
      <c r="C5" s="129" t="s">
        <v>25</v>
      </c>
      <c r="D5" s="129" t="s">
        <v>25</v>
      </c>
      <c r="E5" s="129" t="s">
        <v>25</v>
      </c>
      <c r="F5" s="129" t="s">
        <v>25</v>
      </c>
      <c r="G5" s="32" t="s">
        <v>68</v>
      </c>
      <c r="H5" s="32" t="s">
        <v>67</v>
      </c>
      <c r="I5" s="32">
        <f>'MERCADO TE'!$U$2</f>
        <v>149.95200000000003</v>
      </c>
      <c r="J5" s="17"/>
      <c r="L5" s="30">
        <f>'TE BE'!$L$5*'TE BE'!$L$48</f>
        <v>0</v>
      </c>
      <c r="M5" s="30">
        <f>'TE BE'!$M$5*'TE BE'!$M$48</f>
        <v>0</v>
      </c>
      <c r="N5" s="30">
        <f>'TE BE'!$N$5*'TE BE'!$N$48</f>
        <v>0</v>
      </c>
      <c r="O5" s="30">
        <f>'TE BE'!$O$5*'TE BE'!$O$48</f>
        <v>0</v>
      </c>
      <c r="P5" s="30">
        <f>SUM($L$5:$O$5)</f>
        <v>0</v>
      </c>
      <c r="Q5" s="30">
        <f>'TE BE'!$Q$5*'TE BE'!$Q$48</f>
        <v>43.344324297488633</v>
      </c>
      <c r="R5" s="30">
        <f>SUM($Q$5:$Q$5)</f>
        <v>43.344324297488633</v>
      </c>
      <c r="S5" s="30">
        <f>'TE BE'!$S$5*'TE BE'!$S$48</f>
        <v>0</v>
      </c>
      <c r="T5" s="30">
        <f>'TE BE'!$T$5*'TE BE'!$T$48</f>
        <v>0</v>
      </c>
      <c r="U5" s="30">
        <f>'TE BE'!$U$5*'TE BE'!$U$48</f>
        <v>0</v>
      </c>
      <c r="V5" s="30">
        <f>SUM($S$5:$U$5)</f>
        <v>0</v>
      </c>
      <c r="W5" s="30">
        <f>'TE BE'!$AA$5*'TE BE'!$W$48</f>
        <v>0</v>
      </c>
      <c r="X5" s="30">
        <f>SUM($W$5:$W$5)</f>
        <v>0</v>
      </c>
      <c r="Y5" s="30">
        <f>'TE BE'!$Y$5*'TE BE'!$Y$48</f>
        <v>0</v>
      </c>
      <c r="Z5" s="30">
        <f>SUM($Y$5:$Y$5)</f>
        <v>0</v>
      </c>
      <c r="AA5" s="30">
        <f>SUMIF($L$4:$Z$4,"SUBTOTAL",$L$5:$Z$5)</f>
        <v>43.344324297488633</v>
      </c>
    </row>
    <row r="6" spans="1:27" ht="11.25" customHeight="1" x14ac:dyDescent="0.3">
      <c r="A6" s="129"/>
      <c r="B6" s="129"/>
      <c r="C6" s="129"/>
      <c r="D6" s="129"/>
      <c r="E6" s="129"/>
      <c r="F6" s="129"/>
      <c r="G6" s="32" t="s">
        <v>69</v>
      </c>
      <c r="H6" s="32" t="s">
        <v>67</v>
      </c>
      <c r="I6" s="32">
        <f>'MERCADO TE'!$U$3</f>
        <v>2536.7999999999997</v>
      </c>
      <c r="J6" s="17"/>
      <c r="L6" s="30">
        <f>'TE BE'!$L$6*'TE BE'!$L$48</f>
        <v>0</v>
      </c>
      <c r="M6" s="30">
        <f>'TE BE'!$M$6*'TE BE'!$M$48</f>
        <v>0</v>
      </c>
      <c r="N6" s="30">
        <f>'TE BE'!$N$6*'TE BE'!$N$48</f>
        <v>0</v>
      </c>
      <c r="O6" s="30">
        <f>'TE BE'!$O$6*'TE BE'!$O$48</f>
        <v>0</v>
      </c>
      <c r="P6" s="30">
        <f>SUM($L$6:$O$6)</f>
        <v>0</v>
      </c>
      <c r="Q6" s="30">
        <f>'TE BE'!$Q$6*'TE BE'!$Q$48</f>
        <v>43.344324297488633</v>
      </c>
      <c r="R6" s="30">
        <f>SUM($Q$6:$Q$6)</f>
        <v>43.344324297488633</v>
      </c>
      <c r="S6" s="30">
        <f>'TE BE'!$S$6*'TE BE'!$S$48</f>
        <v>0</v>
      </c>
      <c r="T6" s="30">
        <f>'TE BE'!$T$6*'TE BE'!$T$48</f>
        <v>0</v>
      </c>
      <c r="U6" s="30">
        <f>'TE BE'!$U$6*'TE BE'!$U$48</f>
        <v>0</v>
      </c>
      <c r="V6" s="30">
        <f>SUM($S$6:$U$6)</f>
        <v>0</v>
      </c>
      <c r="W6" s="30">
        <f>'TE BE'!$AA$6*'TE BE'!$W$48</f>
        <v>0</v>
      </c>
      <c r="X6" s="30">
        <f>SUM($W$6:$W$6)</f>
        <v>0</v>
      </c>
      <c r="Y6" s="30">
        <f>'TE BE'!$Y$6*'TE BE'!$Y$48</f>
        <v>0</v>
      </c>
      <c r="Z6" s="30">
        <f>SUM($Y$6:$Y$6)</f>
        <v>0</v>
      </c>
      <c r="AA6" s="30">
        <f>SUMIF($L$4:$Z$4,"SUBTOTAL",$L$6:$Z$6)</f>
        <v>43.344324297488633</v>
      </c>
    </row>
    <row r="7" spans="1:27" ht="11.25" customHeight="1" x14ac:dyDescent="0.3">
      <c r="A7" s="129" t="s">
        <v>22</v>
      </c>
      <c r="B7" s="129" t="s">
        <v>66</v>
      </c>
      <c r="C7" s="129" t="s">
        <v>24</v>
      </c>
      <c r="D7" s="129" t="s">
        <v>24</v>
      </c>
      <c r="E7" s="129" t="s">
        <v>25</v>
      </c>
      <c r="F7" s="129" t="s">
        <v>25</v>
      </c>
      <c r="G7" s="32" t="s">
        <v>68</v>
      </c>
      <c r="H7" s="32" t="s">
        <v>67</v>
      </c>
      <c r="I7" s="32">
        <f>'MERCADO TE'!$U$4</f>
        <v>0</v>
      </c>
      <c r="J7" s="17"/>
      <c r="L7" s="30">
        <f>'TE BE'!$L$7*'TE BE'!$L$48</f>
        <v>0</v>
      </c>
      <c r="M7" s="30">
        <f>'TE BE'!$M$7*'TE BE'!$M$48</f>
        <v>0</v>
      </c>
      <c r="N7" s="30">
        <f>'TE BE'!$N$7*'TE BE'!$N$48</f>
        <v>0</v>
      </c>
      <c r="O7" s="30">
        <f>'TE BE'!$O$7*'TE BE'!$O$48</f>
        <v>0</v>
      </c>
      <c r="P7" s="30">
        <f>SUM($L$7:$O$7)</f>
        <v>0</v>
      </c>
      <c r="Q7" s="30">
        <f>'TE BE'!$Q$7*'TE BE'!$Q$48</f>
        <v>43.344324297488633</v>
      </c>
      <c r="R7" s="30">
        <f>SUM($Q$7:$Q$7)</f>
        <v>43.344324297488633</v>
      </c>
      <c r="S7" s="30">
        <f>'TE BE'!$S$7*'TE BE'!$S$48</f>
        <v>0</v>
      </c>
      <c r="T7" s="30">
        <f>'TE BE'!$T$7*'TE BE'!$T$48</f>
        <v>0</v>
      </c>
      <c r="U7" s="30">
        <f>'TE BE'!$U$7*'TE BE'!$U$48</f>
        <v>0</v>
      </c>
      <c r="V7" s="30">
        <f>SUM($S$7:$U$7)</f>
        <v>0</v>
      </c>
      <c r="W7" s="30">
        <f>'TE BE'!$AA$7*'TE BE'!$W$48</f>
        <v>0</v>
      </c>
      <c r="X7" s="30">
        <f>SUM($W$7:$W$7)</f>
        <v>0</v>
      </c>
      <c r="Y7" s="30">
        <f>'TE BE'!$Y$7*'TE BE'!$Y$48</f>
        <v>0</v>
      </c>
      <c r="Z7" s="30">
        <f>SUM($Y$7:$Y$7)</f>
        <v>0</v>
      </c>
      <c r="AA7" s="30">
        <f>SUMIF($L$4:$Z$4,"SUBTOTAL",$L$7:$Z$7)</f>
        <v>43.344324297488633</v>
      </c>
    </row>
    <row r="8" spans="1:27" ht="11.25" customHeight="1" x14ac:dyDescent="0.3">
      <c r="A8" s="129"/>
      <c r="B8" s="129"/>
      <c r="C8" s="129"/>
      <c r="D8" s="129"/>
      <c r="E8" s="129"/>
      <c r="F8" s="129"/>
      <c r="G8" s="32" t="s">
        <v>80</v>
      </c>
      <c r="H8" s="32" t="s">
        <v>67</v>
      </c>
      <c r="I8" s="32">
        <f>'MERCADO TE'!$U$5</f>
        <v>0</v>
      </c>
      <c r="J8" s="17"/>
      <c r="L8" s="30">
        <f>'TE BE'!$L$8*'TE BE'!$L$48</f>
        <v>0</v>
      </c>
      <c r="M8" s="30">
        <f>'TE BE'!$M$8*'TE BE'!$M$48</f>
        <v>0</v>
      </c>
      <c r="N8" s="30">
        <f>'TE BE'!$N$8*'TE BE'!$N$48</f>
        <v>0</v>
      </c>
      <c r="O8" s="30">
        <f>'TE BE'!$O$8*'TE BE'!$O$48</f>
        <v>0</v>
      </c>
      <c r="P8" s="30">
        <f>SUM($L$8:$O$8)</f>
        <v>0</v>
      </c>
      <c r="Q8" s="30">
        <f>'TE BE'!$Q$8*'TE BE'!$Q$48</f>
        <v>43.344324297488633</v>
      </c>
      <c r="R8" s="30">
        <f>SUM($Q$8:$Q$8)</f>
        <v>43.344324297488633</v>
      </c>
      <c r="S8" s="30">
        <f>'TE BE'!$S$8*'TE BE'!$S$48</f>
        <v>0</v>
      </c>
      <c r="T8" s="30">
        <f>'TE BE'!$T$8*'TE BE'!$T$48</f>
        <v>0</v>
      </c>
      <c r="U8" s="30">
        <f>'TE BE'!$U$8*'TE BE'!$U$48</f>
        <v>0</v>
      </c>
      <c r="V8" s="30">
        <f>SUM($S$8:$U$8)</f>
        <v>0</v>
      </c>
      <c r="W8" s="30">
        <f>'TE BE'!$AA$8*'TE BE'!$W$48</f>
        <v>0</v>
      </c>
      <c r="X8" s="30">
        <f>SUM($W$8:$W$8)</f>
        <v>0</v>
      </c>
      <c r="Y8" s="30">
        <f>'TE BE'!$Y$8*'TE BE'!$Y$48</f>
        <v>0</v>
      </c>
      <c r="Z8" s="30">
        <f>SUM($Y$8:$Y$8)</f>
        <v>0</v>
      </c>
      <c r="AA8" s="30">
        <f>SUMIF($L$4:$Z$4,"SUBTOTAL",$L$8:$Z$8)</f>
        <v>43.344324297488633</v>
      </c>
    </row>
    <row r="9" spans="1:27" ht="11.25" customHeight="1" x14ac:dyDescent="0.3">
      <c r="A9" s="129"/>
      <c r="B9" s="129"/>
      <c r="C9" s="129"/>
      <c r="D9" s="129"/>
      <c r="E9" s="129"/>
      <c r="F9" s="129"/>
      <c r="G9" s="32" t="s">
        <v>69</v>
      </c>
      <c r="H9" s="32" t="s">
        <v>67</v>
      </c>
      <c r="I9" s="32">
        <f>'MERCADO TE'!$U$6</f>
        <v>0</v>
      </c>
      <c r="J9" s="17"/>
      <c r="L9" s="30">
        <f>'TE BE'!$L$9*'TE BE'!$L$48</f>
        <v>0</v>
      </c>
      <c r="M9" s="30">
        <f>'TE BE'!$M$9*'TE BE'!$M$48</f>
        <v>0</v>
      </c>
      <c r="N9" s="30">
        <f>'TE BE'!$N$9*'TE BE'!$N$48</f>
        <v>0</v>
      </c>
      <c r="O9" s="30">
        <f>'TE BE'!$O$9*'TE BE'!$O$48</f>
        <v>0</v>
      </c>
      <c r="P9" s="30">
        <f>SUM($L$9:$O$9)</f>
        <v>0</v>
      </c>
      <c r="Q9" s="30">
        <f>'TE BE'!$Q$9*'TE BE'!$Q$48</f>
        <v>43.344324297488633</v>
      </c>
      <c r="R9" s="30">
        <f>SUM($Q$9:$Q$9)</f>
        <v>43.344324297488633</v>
      </c>
      <c r="S9" s="30">
        <f>'TE BE'!$S$9*'TE BE'!$S$48</f>
        <v>0</v>
      </c>
      <c r="T9" s="30">
        <f>'TE BE'!$T$9*'TE BE'!$T$48</f>
        <v>0</v>
      </c>
      <c r="U9" s="30">
        <f>'TE BE'!$U$9*'TE BE'!$U$48</f>
        <v>0</v>
      </c>
      <c r="V9" s="30">
        <f>SUM($S$9:$U$9)</f>
        <v>0</v>
      </c>
      <c r="W9" s="30">
        <f>'TE BE'!$AA$9*'TE BE'!$W$48</f>
        <v>0</v>
      </c>
      <c r="X9" s="30">
        <f>SUM($W$9:$W$9)</f>
        <v>0</v>
      </c>
      <c r="Y9" s="30">
        <f>'TE BE'!$Y$9*'TE BE'!$Y$48</f>
        <v>0</v>
      </c>
      <c r="Z9" s="30">
        <f>SUM($Y$9:$Y$9)</f>
        <v>0</v>
      </c>
      <c r="AA9" s="30">
        <f>SUMIF($L$4:$Z$4,"SUBTOTAL",$L$9:$Z$9)</f>
        <v>43.344324297488633</v>
      </c>
    </row>
    <row r="10" spans="1:27" ht="11.25" customHeight="1" x14ac:dyDescent="0.3">
      <c r="A10" s="129"/>
      <c r="B10" s="129" t="s">
        <v>81</v>
      </c>
      <c r="C10" s="129" t="s">
        <v>24</v>
      </c>
      <c r="D10" s="38" t="s">
        <v>24</v>
      </c>
      <c r="E10" s="38" t="s">
        <v>25</v>
      </c>
      <c r="F10" s="38" t="s">
        <v>25</v>
      </c>
      <c r="G10" s="32" t="s">
        <v>74</v>
      </c>
      <c r="H10" s="32" t="s">
        <v>67</v>
      </c>
      <c r="I10" s="32">
        <f>'MERCADO TE'!$U$7</f>
        <v>8666.1360000000022</v>
      </c>
      <c r="J10" s="17"/>
      <c r="L10" s="30">
        <f>'TE BE'!$L$10*'TE BE'!$L$48</f>
        <v>0</v>
      </c>
      <c r="M10" s="30">
        <f>'TE BE'!$M$10*'TE BE'!$M$48</f>
        <v>0</v>
      </c>
      <c r="N10" s="30">
        <f>'TE BE'!$N$10*'TE BE'!$N$48</f>
        <v>0</v>
      </c>
      <c r="O10" s="30">
        <f>'TE BE'!$O$10*'TE BE'!$O$48</f>
        <v>0</v>
      </c>
      <c r="P10" s="30">
        <f>SUM($L$10:$O$10)</f>
        <v>0</v>
      </c>
      <c r="Q10" s="30">
        <f>'TE BE'!$Q$10*'TE BE'!$Q$48</f>
        <v>43.344324297488633</v>
      </c>
      <c r="R10" s="30">
        <f>SUM($Q$10:$Q$10)</f>
        <v>43.344324297488633</v>
      </c>
      <c r="S10" s="30">
        <f>'TE BE'!$S$10*'TE BE'!$S$48</f>
        <v>0</v>
      </c>
      <c r="T10" s="30">
        <f>'TE BE'!$T$10*'TE BE'!$T$48</f>
        <v>0</v>
      </c>
      <c r="U10" s="30">
        <f>'TE BE'!$U$10*'TE BE'!$U$48</f>
        <v>0</v>
      </c>
      <c r="V10" s="30">
        <f>SUM($S$10:$U$10)</f>
        <v>0</v>
      </c>
      <c r="W10" s="30">
        <f>'TE BE'!$AA$10*'TE BE'!$W$48</f>
        <v>0</v>
      </c>
      <c r="X10" s="30">
        <f>SUM($W$10:$W$10)</f>
        <v>0</v>
      </c>
      <c r="Y10" s="30">
        <f>'TE BE'!$Y$10*'TE BE'!$Y$48</f>
        <v>0</v>
      </c>
      <c r="Z10" s="30">
        <f>SUM($Y$10:$Y$10)</f>
        <v>0</v>
      </c>
      <c r="AA10" s="30">
        <f>SUMIF($L$4:$Z$4,"SUBTOTAL",$L$10:$Z$10)</f>
        <v>43.344324297488633</v>
      </c>
    </row>
    <row r="11" spans="1:27" ht="11.25" customHeight="1" x14ac:dyDescent="0.3">
      <c r="A11" s="129"/>
      <c r="B11" s="129"/>
      <c r="C11" s="129"/>
      <c r="D11" s="38" t="s">
        <v>29</v>
      </c>
      <c r="E11" s="38" t="s">
        <v>25</v>
      </c>
      <c r="F11" s="38" t="s">
        <v>25</v>
      </c>
      <c r="G11" s="32" t="s">
        <v>74</v>
      </c>
      <c r="H11" s="32" t="s">
        <v>67</v>
      </c>
      <c r="I11" s="32">
        <f>'MERCADO TE'!$U$8</f>
        <v>34.769999999999996</v>
      </c>
      <c r="J11" s="17"/>
      <c r="L11" s="30">
        <f>'TE BE'!$L$11*'TE BE'!$L$48</f>
        <v>0</v>
      </c>
      <c r="M11" s="30">
        <f>'TE BE'!$M$11*'TE BE'!$M$48</f>
        <v>0</v>
      </c>
      <c r="N11" s="30">
        <f>'TE BE'!$N$11*'TE BE'!$N$48</f>
        <v>0</v>
      </c>
      <c r="O11" s="30">
        <f>'TE BE'!$O$11*'TE BE'!$O$48</f>
        <v>0</v>
      </c>
      <c r="P11" s="30">
        <f>SUM($L$11:$O$11)</f>
        <v>0</v>
      </c>
      <c r="Q11" s="30">
        <f>'TE BE'!$Q$11*'TE BE'!$Q$48</f>
        <v>43.344324297488633</v>
      </c>
      <c r="R11" s="30">
        <f>SUM($Q$11:$Q$11)</f>
        <v>43.344324297488633</v>
      </c>
      <c r="S11" s="30">
        <f>'TE BE'!$S$11*'TE BE'!$S$48</f>
        <v>0</v>
      </c>
      <c r="T11" s="30">
        <f>'TE BE'!$T$11*'TE BE'!$T$48</f>
        <v>0</v>
      </c>
      <c r="U11" s="30">
        <f>'TE BE'!$U$11*'TE BE'!$U$48</f>
        <v>0</v>
      </c>
      <c r="V11" s="30">
        <f>SUM($S$11:$U$11)</f>
        <v>0</v>
      </c>
      <c r="W11" s="30">
        <f>'TE BE'!$AA$11*'TE BE'!$W$48</f>
        <v>0</v>
      </c>
      <c r="X11" s="30">
        <f>SUM($W$11:$W$11)</f>
        <v>0</v>
      </c>
      <c r="Y11" s="30">
        <f>'TE BE'!$Y$11*'TE BE'!$Y$48</f>
        <v>0</v>
      </c>
      <c r="Z11" s="30">
        <f>SUM($Y$11:$Y$11)</f>
        <v>0</v>
      </c>
      <c r="AA11" s="30">
        <f>SUMIF($L$4:$Z$4,"SUBTOTAL",$L$11:$Z$11)</f>
        <v>43.344324297488633</v>
      </c>
    </row>
    <row r="12" spans="1:27" ht="11.25" customHeight="1" x14ac:dyDescent="0.3">
      <c r="A12" s="129"/>
      <c r="B12" s="129"/>
      <c r="C12" s="129"/>
      <c r="D12" s="38" t="s">
        <v>30</v>
      </c>
      <c r="E12" s="38" t="s">
        <v>25</v>
      </c>
      <c r="F12" s="38" t="s">
        <v>25</v>
      </c>
      <c r="G12" s="32" t="s">
        <v>74</v>
      </c>
      <c r="H12" s="32" t="s">
        <v>67</v>
      </c>
      <c r="I12" s="32">
        <f>'MERCADO TE'!$U$9</f>
        <v>75.075000000000003</v>
      </c>
      <c r="J12" s="17"/>
      <c r="L12" s="30">
        <f>'TE BE'!$L$12*'TE BE'!$L$48</f>
        <v>0</v>
      </c>
      <c r="M12" s="30">
        <f>'TE BE'!$M$12*'TE BE'!$M$48</f>
        <v>0</v>
      </c>
      <c r="N12" s="30">
        <f>'TE BE'!$N$12*'TE BE'!$N$48</f>
        <v>0</v>
      </c>
      <c r="O12" s="30">
        <f>'TE BE'!$O$12*'TE BE'!$O$48</f>
        <v>0</v>
      </c>
      <c r="P12" s="30">
        <f>SUM($L$12:$O$12)</f>
        <v>0</v>
      </c>
      <c r="Q12" s="30">
        <f>'TE BE'!$Q$12*'TE BE'!$Q$48</f>
        <v>43.344324297488633</v>
      </c>
      <c r="R12" s="30">
        <f>SUM($Q$12:$Q$12)</f>
        <v>43.344324297488633</v>
      </c>
      <c r="S12" s="30">
        <f>'TE BE'!$S$12*'TE BE'!$S$48</f>
        <v>0</v>
      </c>
      <c r="T12" s="30">
        <f>'TE BE'!$T$12*'TE BE'!$T$48</f>
        <v>0</v>
      </c>
      <c r="U12" s="30">
        <f>'TE BE'!$U$12*'TE BE'!$U$48</f>
        <v>0</v>
      </c>
      <c r="V12" s="30">
        <f>SUM($S$12:$U$12)</f>
        <v>0</v>
      </c>
      <c r="W12" s="30">
        <f>'TE BE'!$AA$12*'TE BE'!$W$48</f>
        <v>0</v>
      </c>
      <c r="X12" s="30">
        <f>SUM($W$12:$W$12)</f>
        <v>0</v>
      </c>
      <c r="Y12" s="30">
        <f>'TE BE'!$Y$12*'TE BE'!$Y$48</f>
        <v>0</v>
      </c>
      <c r="Z12" s="30">
        <f>SUM($Y$12:$Y$12)</f>
        <v>0</v>
      </c>
      <c r="AA12" s="30">
        <f>SUMIF($L$4:$Z$4,"SUBTOTAL",$L$12:$Z$12)</f>
        <v>43.344324297488633</v>
      </c>
    </row>
    <row r="13" spans="1:27" ht="11.25" customHeight="1" x14ac:dyDescent="0.3">
      <c r="A13" s="129"/>
      <c r="B13" s="129"/>
      <c r="C13" s="129"/>
      <c r="D13" s="38" t="s">
        <v>31</v>
      </c>
      <c r="E13" s="38" t="s">
        <v>25</v>
      </c>
      <c r="F13" s="38" t="s">
        <v>25</v>
      </c>
      <c r="G13" s="32" t="s">
        <v>74</v>
      </c>
      <c r="H13" s="32" t="s">
        <v>67</v>
      </c>
      <c r="I13" s="32">
        <f>'MERCADO TE'!$U$10</f>
        <v>64.762</v>
      </c>
      <c r="J13" s="17"/>
      <c r="L13" s="30">
        <f>'TE BE'!$L$13*'TE BE'!$L$48</f>
        <v>0</v>
      </c>
      <c r="M13" s="30">
        <f>'TE BE'!$M$13*'TE BE'!$M$48</f>
        <v>0</v>
      </c>
      <c r="N13" s="30">
        <f>'TE BE'!$N$13*'TE BE'!$N$48</f>
        <v>0</v>
      </c>
      <c r="O13" s="30">
        <f>'TE BE'!$O$13*'TE BE'!$O$48</f>
        <v>0</v>
      </c>
      <c r="P13" s="30">
        <f>SUM($L$13:$O$13)</f>
        <v>0</v>
      </c>
      <c r="Q13" s="30">
        <f>'TE BE'!$Q$13*'TE BE'!$Q$48</f>
        <v>43.344324297488633</v>
      </c>
      <c r="R13" s="30">
        <f>SUM($Q$13:$Q$13)</f>
        <v>43.344324297488633</v>
      </c>
      <c r="S13" s="30">
        <f>'TE BE'!$S$13*'TE BE'!$S$48</f>
        <v>0</v>
      </c>
      <c r="T13" s="30">
        <f>'TE BE'!$T$13*'TE BE'!$T$48</f>
        <v>0</v>
      </c>
      <c r="U13" s="30">
        <f>'TE BE'!$U$13*'TE BE'!$U$48</f>
        <v>0</v>
      </c>
      <c r="V13" s="30">
        <f>SUM($S$13:$U$13)</f>
        <v>0</v>
      </c>
      <c r="W13" s="30">
        <f>'TE BE'!$AA$13*'TE BE'!$W$48</f>
        <v>0</v>
      </c>
      <c r="X13" s="30">
        <f>SUM($W$13:$W$13)</f>
        <v>0</v>
      </c>
      <c r="Y13" s="30">
        <f>'TE BE'!$Y$13*'TE BE'!$Y$48</f>
        <v>0</v>
      </c>
      <c r="Z13" s="30">
        <f>SUM($Y$13:$Y$13)</f>
        <v>0</v>
      </c>
      <c r="AA13" s="30">
        <f>SUMIF($L$4:$Z$4,"SUBTOTAL",$L$13:$Z$13)</f>
        <v>43.344324297488633</v>
      </c>
    </row>
    <row r="14" spans="1:27" ht="11.25" customHeight="1" x14ac:dyDescent="0.3">
      <c r="A14" s="129"/>
      <c r="B14" s="129"/>
      <c r="C14" s="129"/>
      <c r="D14" s="38" t="s">
        <v>32</v>
      </c>
      <c r="E14" s="38" t="s">
        <v>25</v>
      </c>
      <c r="F14" s="38" t="s">
        <v>25</v>
      </c>
      <c r="G14" s="32" t="s">
        <v>74</v>
      </c>
      <c r="H14" s="32" t="s">
        <v>67</v>
      </c>
      <c r="I14" s="32">
        <f>'MERCADO TE'!$U$11</f>
        <v>22.914000000000001</v>
      </c>
      <c r="J14" s="17"/>
      <c r="L14" s="30">
        <f>'TE BE'!$L$14*'TE BE'!$L$48</f>
        <v>0</v>
      </c>
      <c r="M14" s="30">
        <f>'TE BE'!$M$14*'TE BE'!$M$48</f>
        <v>0</v>
      </c>
      <c r="N14" s="30">
        <f>'TE BE'!$N$14*'TE BE'!$N$48</f>
        <v>0</v>
      </c>
      <c r="O14" s="30">
        <f>'TE BE'!$O$14*'TE BE'!$O$48</f>
        <v>0</v>
      </c>
      <c r="P14" s="30">
        <f>SUM($L$14:$O$14)</f>
        <v>0</v>
      </c>
      <c r="Q14" s="30">
        <f>'TE BE'!$Q$14*'TE BE'!$Q$48</f>
        <v>43.344324297488633</v>
      </c>
      <c r="R14" s="30">
        <f>SUM($Q$14:$Q$14)</f>
        <v>43.344324297488633</v>
      </c>
      <c r="S14" s="30">
        <f>'TE BE'!$S$14*'TE BE'!$S$48</f>
        <v>0</v>
      </c>
      <c r="T14" s="30">
        <f>'TE BE'!$T$14*'TE BE'!$T$48</f>
        <v>0</v>
      </c>
      <c r="U14" s="30">
        <f>'TE BE'!$U$14*'TE BE'!$U$48</f>
        <v>0</v>
      </c>
      <c r="V14" s="30">
        <f>SUM($S$14:$U$14)</f>
        <v>0</v>
      </c>
      <c r="W14" s="30">
        <f>'TE BE'!$AA$14*'TE BE'!$W$48</f>
        <v>0</v>
      </c>
      <c r="X14" s="30">
        <f>SUM($W$14:$W$14)</f>
        <v>0</v>
      </c>
      <c r="Y14" s="30">
        <f>'TE BE'!$Y$14*'TE BE'!$Y$48</f>
        <v>0</v>
      </c>
      <c r="Z14" s="30">
        <f>SUM($Y$14:$Y$14)</f>
        <v>0</v>
      </c>
      <c r="AA14" s="30">
        <f>SUMIF($L$4:$Z$4,"SUBTOTAL",$L$14:$Z$14)</f>
        <v>43.344324297488633</v>
      </c>
    </row>
    <row r="15" spans="1:27" ht="11.25" customHeight="1" x14ac:dyDescent="0.3">
      <c r="A15" s="129"/>
      <c r="B15" s="129" t="s">
        <v>83</v>
      </c>
      <c r="C15" s="129" t="s">
        <v>24</v>
      </c>
      <c r="D15" s="38" t="s">
        <v>24</v>
      </c>
      <c r="E15" s="38" t="s">
        <v>25</v>
      </c>
      <c r="F15" s="38" t="s">
        <v>25</v>
      </c>
      <c r="G15" s="32" t="s">
        <v>74</v>
      </c>
      <c r="H15" s="32" t="s">
        <v>67</v>
      </c>
      <c r="I15" s="32">
        <f>'MERCADO TE'!$U$12</f>
        <v>0</v>
      </c>
      <c r="J15" s="17"/>
      <c r="L15" s="30">
        <f>'TE BE'!$L$15*'TE BE'!$L$48</f>
        <v>0</v>
      </c>
      <c r="M15" s="30">
        <f>'TE BE'!$M$15*'TE BE'!$M$48</f>
        <v>0</v>
      </c>
      <c r="N15" s="30">
        <f>'TE BE'!$N$15*'TE BE'!$N$48</f>
        <v>0</v>
      </c>
      <c r="O15" s="30">
        <f>'TE BE'!$O$15*'TE BE'!$O$48</f>
        <v>0</v>
      </c>
      <c r="P15" s="30">
        <f>SUM($L$15:$O$15)</f>
        <v>0</v>
      </c>
      <c r="Q15" s="30">
        <f>'TE BE'!$Q$15*'TE BE'!$Q$48</f>
        <v>43.344324297488633</v>
      </c>
      <c r="R15" s="30">
        <f>SUM($Q$15:$Q$15)</f>
        <v>43.344324297488633</v>
      </c>
      <c r="S15" s="30">
        <f>'TE BE'!$S$15*'TE BE'!$S$48</f>
        <v>0</v>
      </c>
      <c r="T15" s="30">
        <f>'TE BE'!$T$15*'TE BE'!$T$48</f>
        <v>0</v>
      </c>
      <c r="U15" s="30">
        <f>'TE BE'!$U$15*'TE BE'!$U$48</f>
        <v>0</v>
      </c>
      <c r="V15" s="30">
        <f>SUM($S$15:$U$15)</f>
        <v>0</v>
      </c>
      <c r="W15" s="30">
        <f>'TE BE'!$AA$15*'TE BE'!$W$48</f>
        <v>0</v>
      </c>
      <c r="X15" s="30">
        <f>SUM($W$15:$W$15)</f>
        <v>0</v>
      </c>
      <c r="Y15" s="30">
        <f>'TE BE'!$Y$15*'TE BE'!$Y$48</f>
        <v>0</v>
      </c>
      <c r="Z15" s="30">
        <f>SUM($Y$15:$Y$15)</f>
        <v>0</v>
      </c>
      <c r="AA15" s="30">
        <f>SUMIF($L$4:$Z$4,"SUBTOTAL",$L$15:$Z$15)</f>
        <v>43.344324297488633</v>
      </c>
    </row>
    <row r="16" spans="1:27" ht="11.25" customHeight="1" x14ac:dyDescent="0.3">
      <c r="A16" s="129"/>
      <c r="B16" s="129"/>
      <c r="C16" s="129"/>
      <c r="D16" s="38" t="s">
        <v>29</v>
      </c>
      <c r="E16" s="38" t="s">
        <v>25</v>
      </c>
      <c r="F16" s="38" t="s">
        <v>25</v>
      </c>
      <c r="G16" s="32" t="s">
        <v>74</v>
      </c>
      <c r="H16" s="32" t="s">
        <v>67</v>
      </c>
      <c r="I16" s="32">
        <f>'MERCADO TE'!$U$13</f>
        <v>0</v>
      </c>
      <c r="J16" s="17"/>
      <c r="L16" s="30">
        <f>'TE BE'!$L$16*'TE BE'!$L$48</f>
        <v>0</v>
      </c>
      <c r="M16" s="30">
        <f>'TE BE'!$M$16*'TE BE'!$M$48</f>
        <v>0</v>
      </c>
      <c r="N16" s="30">
        <f>'TE BE'!$N$16*'TE BE'!$N$48</f>
        <v>0</v>
      </c>
      <c r="O16" s="30">
        <f>'TE BE'!$O$16*'TE BE'!$O$48</f>
        <v>0</v>
      </c>
      <c r="P16" s="30">
        <f>SUM($L$16:$O$16)</f>
        <v>0</v>
      </c>
      <c r="Q16" s="30">
        <f>'TE BE'!$Q$16*'TE BE'!$Q$48</f>
        <v>43.344324297488633</v>
      </c>
      <c r="R16" s="30">
        <f>SUM($Q$16:$Q$16)</f>
        <v>43.344324297488633</v>
      </c>
      <c r="S16" s="30">
        <f>'TE BE'!$S$16*'TE BE'!$S$48</f>
        <v>0</v>
      </c>
      <c r="T16" s="30">
        <f>'TE BE'!$T$16*'TE BE'!$T$48</f>
        <v>0</v>
      </c>
      <c r="U16" s="30">
        <f>'TE BE'!$U$16*'TE BE'!$U$48</f>
        <v>0</v>
      </c>
      <c r="V16" s="30">
        <f>SUM($S$16:$U$16)</f>
        <v>0</v>
      </c>
      <c r="W16" s="30">
        <f>'TE BE'!$AA$16*'TE BE'!$W$48</f>
        <v>0</v>
      </c>
      <c r="X16" s="30">
        <f>SUM($W$16:$W$16)</f>
        <v>0</v>
      </c>
      <c r="Y16" s="30">
        <f>'TE BE'!$Y$16*'TE BE'!$Y$48</f>
        <v>0</v>
      </c>
      <c r="Z16" s="30">
        <f>SUM($Y$16:$Y$16)</f>
        <v>0</v>
      </c>
      <c r="AA16" s="30">
        <f>SUMIF($L$4:$Z$4,"SUBTOTAL",$L$16:$Z$16)</f>
        <v>43.344324297488633</v>
      </c>
    </row>
    <row r="17" spans="1:27" ht="11.25" customHeight="1" x14ac:dyDescent="0.3">
      <c r="A17" s="129"/>
      <c r="B17" s="129"/>
      <c r="C17" s="129"/>
      <c r="D17" s="38" t="s">
        <v>30</v>
      </c>
      <c r="E17" s="38" t="s">
        <v>25</v>
      </c>
      <c r="F17" s="38" t="s">
        <v>25</v>
      </c>
      <c r="G17" s="32" t="s">
        <v>74</v>
      </c>
      <c r="H17" s="32" t="s">
        <v>67</v>
      </c>
      <c r="I17" s="32">
        <f>'MERCADO TE'!$U$14</f>
        <v>0</v>
      </c>
      <c r="J17" s="17"/>
      <c r="L17" s="30">
        <f>'TE BE'!$L$17*'TE BE'!$L$48</f>
        <v>0</v>
      </c>
      <c r="M17" s="30">
        <f>'TE BE'!$M$17*'TE BE'!$M$48</f>
        <v>0</v>
      </c>
      <c r="N17" s="30">
        <f>'TE BE'!$N$17*'TE BE'!$N$48</f>
        <v>0</v>
      </c>
      <c r="O17" s="30">
        <f>'TE BE'!$O$17*'TE BE'!$O$48</f>
        <v>0</v>
      </c>
      <c r="P17" s="30">
        <f>SUM($L$17:$O$17)</f>
        <v>0</v>
      </c>
      <c r="Q17" s="30">
        <f>'TE BE'!$Q$17*'TE BE'!$Q$48</f>
        <v>43.344324297488633</v>
      </c>
      <c r="R17" s="30">
        <f>SUM($Q$17:$Q$17)</f>
        <v>43.344324297488633</v>
      </c>
      <c r="S17" s="30">
        <f>'TE BE'!$S$17*'TE BE'!$S$48</f>
        <v>0</v>
      </c>
      <c r="T17" s="30">
        <f>'TE BE'!$T$17*'TE BE'!$T$48</f>
        <v>0</v>
      </c>
      <c r="U17" s="30">
        <f>'TE BE'!$U$17*'TE BE'!$U$48</f>
        <v>0</v>
      </c>
      <c r="V17" s="30">
        <f>SUM($S$17:$U$17)</f>
        <v>0</v>
      </c>
      <c r="W17" s="30">
        <f>'TE BE'!$AA$17*'TE BE'!$W$48</f>
        <v>0</v>
      </c>
      <c r="X17" s="30">
        <f>SUM($W$17:$W$17)</f>
        <v>0</v>
      </c>
      <c r="Y17" s="30">
        <f>'TE BE'!$Y$17*'TE BE'!$Y$48</f>
        <v>0</v>
      </c>
      <c r="Z17" s="30">
        <f>SUM($Y$17:$Y$17)</f>
        <v>0</v>
      </c>
      <c r="AA17" s="30">
        <f>SUMIF($L$4:$Z$4,"SUBTOTAL",$L$17:$Z$17)</f>
        <v>43.344324297488633</v>
      </c>
    </row>
    <row r="18" spans="1:27" ht="11.25" customHeight="1" x14ac:dyDescent="0.3">
      <c r="A18" s="129"/>
      <c r="B18" s="129"/>
      <c r="C18" s="129"/>
      <c r="D18" s="38" t="s">
        <v>31</v>
      </c>
      <c r="E18" s="38" t="s">
        <v>25</v>
      </c>
      <c r="F18" s="38" t="s">
        <v>25</v>
      </c>
      <c r="G18" s="32" t="s">
        <v>74</v>
      </c>
      <c r="H18" s="32" t="s">
        <v>67</v>
      </c>
      <c r="I18" s="32">
        <f>'MERCADO TE'!$U$15</f>
        <v>0</v>
      </c>
      <c r="J18" s="17"/>
      <c r="L18" s="30">
        <f>'TE BE'!$L$18*'TE BE'!$L$48</f>
        <v>0</v>
      </c>
      <c r="M18" s="30">
        <f>'TE BE'!$M$18*'TE BE'!$M$48</f>
        <v>0</v>
      </c>
      <c r="N18" s="30">
        <f>'TE BE'!$N$18*'TE BE'!$N$48</f>
        <v>0</v>
      </c>
      <c r="O18" s="30">
        <f>'TE BE'!$O$18*'TE BE'!$O$48</f>
        <v>0</v>
      </c>
      <c r="P18" s="30">
        <f>SUM($L$18:$O$18)</f>
        <v>0</v>
      </c>
      <c r="Q18" s="30">
        <f>'TE BE'!$Q$18*'TE BE'!$Q$48</f>
        <v>43.344324297488633</v>
      </c>
      <c r="R18" s="30">
        <f>SUM($Q$18:$Q$18)</f>
        <v>43.344324297488633</v>
      </c>
      <c r="S18" s="30">
        <f>'TE BE'!$S$18*'TE BE'!$S$48</f>
        <v>0</v>
      </c>
      <c r="T18" s="30">
        <f>'TE BE'!$T$18*'TE BE'!$T$48</f>
        <v>0</v>
      </c>
      <c r="U18" s="30">
        <f>'TE BE'!$U$18*'TE BE'!$U$48</f>
        <v>0</v>
      </c>
      <c r="V18" s="30">
        <f>SUM($S$18:$U$18)</f>
        <v>0</v>
      </c>
      <c r="W18" s="30">
        <f>'TE BE'!$AA$18*'TE BE'!$W$48</f>
        <v>0</v>
      </c>
      <c r="X18" s="30">
        <f>SUM($W$18:$W$18)</f>
        <v>0</v>
      </c>
      <c r="Y18" s="30">
        <f>'TE BE'!$Y$18*'TE BE'!$Y$48</f>
        <v>0</v>
      </c>
      <c r="Z18" s="30">
        <f>SUM($Y$18:$Y$18)</f>
        <v>0</v>
      </c>
      <c r="AA18" s="30">
        <f>SUMIF($L$4:$Z$4,"SUBTOTAL",$L$18:$Z$18)</f>
        <v>43.344324297488633</v>
      </c>
    </row>
    <row r="19" spans="1:27" ht="11.25" customHeight="1" x14ac:dyDescent="0.3">
      <c r="A19" s="129"/>
      <c r="B19" s="129"/>
      <c r="C19" s="129"/>
      <c r="D19" s="38" t="s">
        <v>32</v>
      </c>
      <c r="E19" s="38" t="s">
        <v>25</v>
      </c>
      <c r="F19" s="38" t="s">
        <v>25</v>
      </c>
      <c r="G19" s="32" t="s">
        <v>74</v>
      </c>
      <c r="H19" s="32" t="s">
        <v>67</v>
      </c>
      <c r="I19" s="32">
        <f>'MERCADO TE'!$U$16</f>
        <v>0</v>
      </c>
      <c r="J19" s="17"/>
      <c r="L19" s="30">
        <f>'TE BE'!$L$19*'TE BE'!$L$48</f>
        <v>0</v>
      </c>
      <c r="M19" s="30">
        <f>'TE BE'!$M$19*'TE BE'!$M$48</f>
        <v>0</v>
      </c>
      <c r="N19" s="30">
        <f>'TE BE'!$N$19*'TE BE'!$N$48</f>
        <v>0</v>
      </c>
      <c r="O19" s="30">
        <f>'TE BE'!$O$19*'TE BE'!$O$48</f>
        <v>0</v>
      </c>
      <c r="P19" s="30">
        <f>SUM($L$19:$O$19)</f>
        <v>0</v>
      </c>
      <c r="Q19" s="30">
        <f>'TE BE'!$Q$19*'TE BE'!$Q$48</f>
        <v>43.344324297488633</v>
      </c>
      <c r="R19" s="30">
        <f>SUM($Q$19:$Q$19)</f>
        <v>43.344324297488633</v>
      </c>
      <c r="S19" s="30">
        <f>'TE BE'!$S$19*'TE BE'!$S$48</f>
        <v>0</v>
      </c>
      <c r="T19" s="30">
        <f>'TE BE'!$T$19*'TE BE'!$T$48</f>
        <v>0</v>
      </c>
      <c r="U19" s="30">
        <f>'TE BE'!$U$19*'TE BE'!$U$48</f>
        <v>0</v>
      </c>
      <c r="V19" s="30">
        <f>SUM($S$19:$U$19)</f>
        <v>0</v>
      </c>
      <c r="W19" s="30">
        <f>'TE BE'!$AA$19*'TE BE'!$W$48</f>
        <v>0</v>
      </c>
      <c r="X19" s="30">
        <f>SUM($W$19:$W$19)</f>
        <v>0</v>
      </c>
      <c r="Y19" s="30">
        <f>'TE BE'!$Y$19*'TE BE'!$Y$48</f>
        <v>0</v>
      </c>
      <c r="Z19" s="30">
        <f>SUM($Y$19:$Y$19)</f>
        <v>0</v>
      </c>
      <c r="AA19" s="30">
        <f>SUMIF($L$4:$Z$4,"SUBTOTAL",$L$19:$Z$19)</f>
        <v>43.344324297488633</v>
      </c>
    </row>
    <row r="20" spans="1:27" ht="11.25" customHeight="1" x14ac:dyDescent="0.3">
      <c r="A20" s="129" t="s">
        <v>40</v>
      </c>
      <c r="B20" s="129" t="s">
        <v>66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2" t="s">
        <v>68</v>
      </c>
      <c r="H20" s="32" t="s">
        <v>67</v>
      </c>
      <c r="I20" s="32">
        <f>'MERCADO TE'!$U$17</f>
        <v>0</v>
      </c>
      <c r="J20" s="17"/>
      <c r="L20" s="30">
        <f>'TE BE'!$L$20*'TE BE'!$L$48</f>
        <v>0</v>
      </c>
      <c r="M20" s="30">
        <f>'TE BE'!$M$20*'TE BE'!$M$48</f>
        <v>0</v>
      </c>
      <c r="N20" s="30">
        <f>'TE BE'!$N$20*'TE BE'!$N$48</f>
        <v>0</v>
      </c>
      <c r="O20" s="30">
        <f>'TE BE'!$O$20*'TE BE'!$O$48</f>
        <v>0</v>
      </c>
      <c r="P20" s="30">
        <f>SUM($L$20:$O$20)</f>
        <v>0</v>
      </c>
      <c r="Q20" s="30">
        <f>'TE BE'!$Q$20*'TE BE'!$Q$48</f>
        <v>43.344324297488633</v>
      </c>
      <c r="R20" s="30">
        <f>SUM($Q$20:$Q$20)</f>
        <v>43.344324297488633</v>
      </c>
      <c r="S20" s="30">
        <f>'TE BE'!$S$20*'TE BE'!$S$48</f>
        <v>0</v>
      </c>
      <c r="T20" s="30">
        <f>'TE BE'!$T$20*'TE BE'!$T$48</f>
        <v>0</v>
      </c>
      <c r="U20" s="30">
        <f>'TE BE'!$U$20*'TE BE'!$U$48</f>
        <v>0</v>
      </c>
      <c r="V20" s="30">
        <f>SUM($S$20:$U$20)</f>
        <v>0</v>
      </c>
      <c r="W20" s="30">
        <f>'TE BE'!$AA$20*'TE BE'!$W$48</f>
        <v>0</v>
      </c>
      <c r="X20" s="30">
        <f>SUM($W$20:$W$20)</f>
        <v>0</v>
      </c>
      <c r="Y20" s="30">
        <f>'TE BE'!$Y$20*'TE BE'!$Y$48</f>
        <v>0</v>
      </c>
      <c r="Z20" s="30">
        <f>SUM($Y$20:$Y$20)</f>
        <v>0</v>
      </c>
      <c r="AA20" s="30">
        <f>SUMIF($L$4:$Z$4,"SUBTOTAL",$L$20:$Z$20)</f>
        <v>43.344324297488633</v>
      </c>
    </row>
    <row r="21" spans="1:27" ht="11.25" customHeight="1" x14ac:dyDescent="0.3">
      <c r="A21" s="129"/>
      <c r="B21" s="129"/>
      <c r="C21" s="129"/>
      <c r="D21" s="129"/>
      <c r="E21" s="129"/>
      <c r="F21" s="129"/>
      <c r="G21" s="32" t="s">
        <v>80</v>
      </c>
      <c r="H21" s="32" t="s">
        <v>67</v>
      </c>
      <c r="I21" s="32">
        <f>'MERCADO TE'!$U$18</f>
        <v>0</v>
      </c>
      <c r="J21" s="17"/>
      <c r="L21" s="30">
        <f>'TE BE'!$L$21*'TE BE'!$L$48</f>
        <v>0</v>
      </c>
      <c r="M21" s="30">
        <f>'TE BE'!$M$21*'TE BE'!$M$48</f>
        <v>0</v>
      </c>
      <c r="N21" s="30">
        <f>'TE BE'!$N$21*'TE BE'!$N$48</f>
        <v>0</v>
      </c>
      <c r="O21" s="30">
        <f>'TE BE'!$O$21*'TE BE'!$O$48</f>
        <v>0</v>
      </c>
      <c r="P21" s="30">
        <f>SUM($L$21:$O$21)</f>
        <v>0</v>
      </c>
      <c r="Q21" s="30">
        <f>'TE BE'!$Q$21*'TE BE'!$Q$48</f>
        <v>43.344324297488633</v>
      </c>
      <c r="R21" s="30">
        <f>SUM($Q$21:$Q$21)</f>
        <v>43.344324297488633</v>
      </c>
      <c r="S21" s="30">
        <f>'TE BE'!$S$21*'TE BE'!$S$48</f>
        <v>0</v>
      </c>
      <c r="T21" s="30">
        <f>'TE BE'!$T$21*'TE BE'!$T$48</f>
        <v>0</v>
      </c>
      <c r="U21" s="30">
        <f>'TE BE'!$U$21*'TE BE'!$U$48</f>
        <v>0</v>
      </c>
      <c r="V21" s="30">
        <f>SUM($S$21:$U$21)</f>
        <v>0</v>
      </c>
      <c r="W21" s="30">
        <f>'TE BE'!$AA$21*'TE BE'!$W$48</f>
        <v>0</v>
      </c>
      <c r="X21" s="30">
        <f>SUM($W$21:$W$21)</f>
        <v>0</v>
      </c>
      <c r="Y21" s="30">
        <f>'TE BE'!$Y$21*'TE BE'!$Y$48</f>
        <v>0</v>
      </c>
      <c r="Z21" s="30">
        <f>SUM($Y$21:$Y$21)</f>
        <v>0</v>
      </c>
      <c r="AA21" s="30">
        <f>SUMIF($L$4:$Z$4,"SUBTOTAL",$L$21:$Z$21)</f>
        <v>43.344324297488633</v>
      </c>
    </row>
    <row r="22" spans="1:27" ht="11.25" customHeight="1" x14ac:dyDescent="0.3">
      <c r="A22" s="129"/>
      <c r="B22" s="129"/>
      <c r="C22" s="129"/>
      <c r="D22" s="129"/>
      <c r="E22" s="129"/>
      <c r="F22" s="129"/>
      <c r="G22" s="32" t="s">
        <v>69</v>
      </c>
      <c r="H22" s="32" t="s">
        <v>67</v>
      </c>
      <c r="I22" s="32">
        <f>'MERCADO TE'!$U$19</f>
        <v>0</v>
      </c>
      <c r="J22" s="17"/>
      <c r="L22" s="30">
        <f>'TE BE'!$L$22*'TE BE'!$L$48</f>
        <v>0</v>
      </c>
      <c r="M22" s="30">
        <f>'TE BE'!$M$22*'TE BE'!$M$48</f>
        <v>0</v>
      </c>
      <c r="N22" s="30">
        <f>'TE BE'!$N$22*'TE BE'!$N$48</f>
        <v>0</v>
      </c>
      <c r="O22" s="30">
        <f>'TE BE'!$O$22*'TE BE'!$O$48</f>
        <v>0</v>
      </c>
      <c r="P22" s="30">
        <f>SUM($L$22:$O$22)</f>
        <v>0</v>
      </c>
      <c r="Q22" s="30">
        <f>'TE BE'!$Q$22*'TE BE'!$Q$48</f>
        <v>43.344324297488633</v>
      </c>
      <c r="R22" s="30">
        <f>SUM($Q$22:$Q$22)</f>
        <v>43.344324297488633</v>
      </c>
      <c r="S22" s="30">
        <f>'TE BE'!$S$22*'TE BE'!$S$48</f>
        <v>0</v>
      </c>
      <c r="T22" s="30">
        <f>'TE BE'!$T$22*'TE BE'!$T$48</f>
        <v>0</v>
      </c>
      <c r="U22" s="30">
        <f>'TE BE'!$U$22*'TE BE'!$U$48</f>
        <v>0</v>
      </c>
      <c r="V22" s="30">
        <f>SUM($S$22:$U$22)</f>
        <v>0</v>
      </c>
      <c r="W22" s="30">
        <f>'TE BE'!$AA$22*'TE BE'!$W$48</f>
        <v>0</v>
      </c>
      <c r="X22" s="30">
        <f>SUM($W$22:$W$22)</f>
        <v>0</v>
      </c>
      <c r="Y22" s="30">
        <f>'TE BE'!$Y$22*'TE BE'!$Y$48</f>
        <v>0</v>
      </c>
      <c r="Z22" s="30">
        <f>SUM($Y$22:$Y$22)</f>
        <v>0</v>
      </c>
      <c r="AA22" s="30">
        <f>SUMIF($L$4:$Z$4,"SUBTOTAL",$L$22:$Z$22)</f>
        <v>43.344324297488633</v>
      </c>
    </row>
    <row r="23" spans="1:27" ht="11.25" customHeight="1" x14ac:dyDescent="0.3">
      <c r="A23" s="129"/>
      <c r="B23" s="38" t="s">
        <v>81</v>
      </c>
      <c r="C23" s="38" t="s">
        <v>41</v>
      </c>
      <c r="D23" s="38" t="s">
        <v>25</v>
      </c>
      <c r="E23" s="38" t="s">
        <v>25</v>
      </c>
      <c r="F23" s="38" t="s">
        <v>25</v>
      </c>
      <c r="G23" s="32" t="s">
        <v>74</v>
      </c>
      <c r="H23" s="32" t="s">
        <v>67</v>
      </c>
      <c r="I23" s="32">
        <f>'MERCADO TE'!$U$20</f>
        <v>1516.1360000000004</v>
      </c>
      <c r="J23" s="17"/>
      <c r="L23" s="30">
        <f>'TE BE'!$L$23*'TE BE'!$L$48</f>
        <v>0</v>
      </c>
      <c r="M23" s="30">
        <f>'TE BE'!$M$23*'TE BE'!$M$48</f>
        <v>0</v>
      </c>
      <c r="N23" s="30">
        <f>'TE BE'!$N$23*'TE BE'!$N$48</f>
        <v>0</v>
      </c>
      <c r="O23" s="30">
        <f>'TE BE'!$O$23*'TE BE'!$O$48</f>
        <v>0</v>
      </c>
      <c r="P23" s="30">
        <f>SUM($L$23:$O$23)</f>
        <v>0</v>
      </c>
      <c r="Q23" s="30">
        <f>'TE BE'!$Q$23*'TE BE'!$Q$48</f>
        <v>43.344324297488633</v>
      </c>
      <c r="R23" s="30">
        <f>SUM($Q$23:$Q$23)</f>
        <v>43.344324297488633</v>
      </c>
      <c r="S23" s="30">
        <f>'TE BE'!$S$23*'TE BE'!$S$48</f>
        <v>0</v>
      </c>
      <c r="T23" s="30">
        <f>'TE BE'!$T$23*'TE BE'!$T$48</f>
        <v>0</v>
      </c>
      <c r="U23" s="30">
        <f>'TE BE'!$U$23*'TE BE'!$U$48</f>
        <v>0</v>
      </c>
      <c r="V23" s="30">
        <f>SUM($S$23:$U$23)</f>
        <v>0</v>
      </c>
      <c r="W23" s="30">
        <f>'TE BE'!$AA$23*'TE BE'!$W$48</f>
        <v>0</v>
      </c>
      <c r="X23" s="30">
        <f>SUM($W$23:$W$23)</f>
        <v>0</v>
      </c>
      <c r="Y23" s="30">
        <f>'TE BE'!$Y$23*'TE BE'!$Y$48</f>
        <v>0</v>
      </c>
      <c r="Z23" s="30">
        <f>SUM($Y$23:$Y$23)</f>
        <v>0</v>
      </c>
      <c r="AA23" s="30">
        <f>SUMIF($L$4:$Z$4,"SUBTOTAL",$L$23:$Z$23)</f>
        <v>43.344324297488633</v>
      </c>
    </row>
    <row r="24" spans="1:27" ht="11.25" customHeight="1" x14ac:dyDescent="0.3">
      <c r="A24" s="129"/>
      <c r="B24" s="129" t="s">
        <v>66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2" t="s">
        <v>68</v>
      </c>
      <c r="H24" s="32" t="s">
        <v>67</v>
      </c>
      <c r="I24" s="32">
        <f>'MERCADO TE'!$U$21</f>
        <v>0</v>
      </c>
      <c r="J24" s="17"/>
      <c r="L24" s="30">
        <f>'TE BE'!$L$24*'TE BE'!$L$48</f>
        <v>0</v>
      </c>
      <c r="M24" s="30">
        <f>'TE BE'!$M$24*'TE BE'!$M$48</f>
        <v>0</v>
      </c>
      <c r="N24" s="30">
        <f>'TE BE'!$N$24*'TE BE'!$N$48</f>
        <v>0</v>
      </c>
      <c r="O24" s="30">
        <f>'TE BE'!$O$24*'TE BE'!$O$48</f>
        <v>0</v>
      </c>
      <c r="P24" s="30">
        <f>SUM($L$24:$O$24)</f>
        <v>0</v>
      </c>
      <c r="Q24" s="30">
        <f>'TE BE'!$Q$24*'TE BE'!$Q$48</f>
        <v>43.344324297488633</v>
      </c>
      <c r="R24" s="30">
        <f>SUM($Q$24:$Q$24)</f>
        <v>43.344324297488633</v>
      </c>
      <c r="S24" s="30">
        <f>'TE BE'!$S$24*'TE BE'!$S$48</f>
        <v>0</v>
      </c>
      <c r="T24" s="30">
        <f>'TE BE'!$T$24*'TE BE'!$T$48</f>
        <v>0</v>
      </c>
      <c r="U24" s="30">
        <f>'TE BE'!$U$24*'TE BE'!$U$48</f>
        <v>0</v>
      </c>
      <c r="V24" s="30">
        <f>SUM($S$24:$U$24)</f>
        <v>0</v>
      </c>
      <c r="W24" s="30">
        <f>'TE BE'!$AA$24*'TE BE'!$W$48</f>
        <v>0</v>
      </c>
      <c r="X24" s="30">
        <f>SUM($W$24:$W$24)</f>
        <v>0</v>
      </c>
      <c r="Y24" s="30">
        <f>'TE BE'!$Y$24*'TE BE'!$Y$48</f>
        <v>0</v>
      </c>
      <c r="Z24" s="30">
        <f>SUM($Y$24:$Y$24)</f>
        <v>0</v>
      </c>
      <c r="AA24" s="30">
        <f>SUMIF($L$4:$Z$4,"SUBTOTAL",$L$24:$Z$24)</f>
        <v>43.344324297488633</v>
      </c>
    </row>
    <row r="25" spans="1:27" ht="11.25" customHeight="1" x14ac:dyDescent="0.3">
      <c r="A25" s="129"/>
      <c r="B25" s="129"/>
      <c r="C25" s="129"/>
      <c r="D25" s="129"/>
      <c r="E25" s="129"/>
      <c r="F25" s="129"/>
      <c r="G25" s="32" t="s">
        <v>80</v>
      </c>
      <c r="H25" s="32" t="s">
        <v>67</v>
      </c>
      <c r="I25" s="32">
        <f>'MERCADO TE'!$U$22</f>
        <v>0</v>
      </c>
      <c r="J25" s="17"/>
      <c r="L25" s="30">
        <f>'TE BE'!$L$25*'TE BE'!$L$48</f>
        <v>0</v>
      </c>
      <c r="M25" s="30">
        <f>'TE BE'!$M$25*'TE BE'!$M$48</f>
        <v>0</v>
      </c>
      <c r="N25" s="30">
        <f>'TE BE'!$N$25*'TE BE'!$N$48</f>
        <v>0</v>
      </c>
      <c r="O25" s="30">
        <f>'TE BE'!$O$25*'TE BE'!$O$48</f>
        <v>0</v>
      </c>
      <c r="P25" s="30">
        <f>SUM($L$25:$O$25)</f>
        <v>0</v>
      </c>
      <c r="Q25" s="30">
        <f>'TE BE'!$Q$25*'TE BE'!$Q$48</f>
        <v>43.344324297488633</v>
      </c>
      <c r="R25" s="30">
        <f>SUM($Q$25:$Q$25)</f>
        <v>43.344324297488633</v>
      </c>
      <c r="S25" s="30">
        <f>'TE BE'!$S$25*'TE BE'!$S$48</f>
        <v>0</v>
      </c>
      <c r="T25" s="30">
        <f>'TE BE'!$T$25*'TE BE'!$T$48</f>
        <v>0</v>
      </c>
      <c r="U25" s="30">
        <f>'TE BE'!$U$25*'TE BE'!$U$48</f>
        <v>0</v>
      </c>
      <c r="V25" s="30">
        <f>SUM($S$25:$U$25)</f>
        <v>0</v>
      </c>
      <c r="W25" s="30">
        <f>'TE BE'!$AA$25*'TE BE'!$W$48</f>
        <v>0</v>
      </c>
      <c r="X25" s="30">
        <f>SUM($W$25:$W$25)</f>
        <v>0</v>
      </c>
      <c r="Y25" s="30">
        <f>'TE BE'!$Y$25*'TE BE'!$Y$48</f>
        <v>0</v>
      </c>
      <c r="Z25" s="30">
        <f>SUM($Y$25:$Y$25)</f>
        <v>0</v>
      </c>
      <c r="AA25" s="30">
        <f>SUMIF($L$4:$Z$4,"SUBTOTAL",$L$25:$Z$25)</f>
        <v>43.344324297488633</v>
      </c>
    </row>
    <row r="26" spans="1:27" ht="11.25" customHeight="1" x14ac:dyDescent="0.3">
      <c r="A26" s="129"/>
      <c r="B26" s="129"/>
      <c r="C26" s="129"/>
      <c r="D26" s="129"/>
      <c r="E26" s="129"/>
      <c r="F26" s="129"/>
      <c r="G26" s="32" t="s">
        <v>69</v>
      </c>
      <c r="H26" s="32" t="s">
        <v>67</v>
      </c>
      <c r="I26" s="32">
        <f>'MERCADO TE'!$U$23</f>
        <v>0</v>
      </c>
      <c r="J26" s="17"/>
      <c r="L26" s="30">
        <f>'TE BE'!$L$26*'TE BE'!$L$48</f>
        <v>0</v>
      </c>
      <c r="M26" s="30">
        <f>'TE BE'!$M$26*'TE BE'!$M$48</f>
        <v>0</v>
      </c>
      <c r="N26" s="30">
        <f>'TE BE'!$N$26*'TE BE'!$N$48</f>
        <v>0</v>
      </c>
      <c r="O26" s="30">
        <f>'TE BE'!$O$26*'TE BE'!$O$48</f>
        <v>0</v>
      </c>
      <c r="P26" s="30">
        <f>SUM($L$26:$O$26)</f>
        <v>0</v>
      </c>
      <c r="Q26" s="30">
        <f>'TE BE'!$Q$26*'TE BE'!$Q$48</f>
        <v>43.344324297488633</v>
      </c>
      <c r="R26" s="30">
        <f>SUM($Q$26:$Q$26)</f>
        <v>43.344324297488633</v>
      </c>
      <c r="S26" s="30">
        <f>'TE BE'!$S$26*'TE BE'!$S$48</f>
        <v>0</v>
      </c>
      <c r="T26" s="30">
        <f>'TE BE'!$T$26*'TE BE'!$T$48</f>
        <v>0</v>
      </c>
      <c r="U26" s="30">
        <f>'TE BE'!$U$26*'TE BE'!$U$48</f>
        <v>0</v>
      </c>
      <c r="V26" s="30">
        <f>SUM($S$26:$U$26)</f>
        <v>0</v>
      </c>
      <c r="W26" s="30">
        <f>'TE BE'!$AA$26*'TE BE'!$W$48</f>
        <v>0</v>
      </c>
      <c r="X26" s="30">
        <f>SUM($W$26:$W$26)</f>
        <v>0</v>
      </c>
      <c r="Y26" s="30">
        <f>'TE BE'!$Y$26*'TE BE'!$Y$48</f>
        <v>0</v>
      </c>
      <c r="Z26" s="30">
        <f>SUM($Y$26:$Y$26)</f>
        <v>0</v>
      </c>
      <c r="AA26" s="30">
        <f>SUMIF($L$4:$Z$4,"SUBTOTAL",$L$26:$Z$26)</f>
        <v>43.344324297488633</v>
      </c>
    </row>
    <row r="27" spans="1:27" ht="11.25" customHeight="1" x14ac:dyDescent="0.3">
      <c r="A27" s="129"/>
      <c r="B27" s="38" t="s">
        <v>81</v>
      </c>
      <c r="C27" s="38" t="s">
        <v>41</v>
      </c>
      <c r="D27" s="38" t="s">
        <v>85</v>
      </c>
      <c r="E27" s="38" t="s">
        <v>25</v>
      </c>
      <c r="F27" s="38" t="s">
        <v>25</v>
      </c>
      <c r="G27" s="32" t="s">
        <v>74</v>
      </c>
      <c r="H27" s="32" t="s">
        <v>67</v>
      </c>
      <c r="I27" s="32">
        <f>'MERCADO TE'!$U$24</f>
        <v>0</v>
      </c>
      <c r="J27" s="17"/>
      <c r="L27" s="30">
        <f>'TE BE'!$L$27*'TE BE'!$L$48</f>
        <v>0</v>
      </c>
      <c r="M27" s="30">
        <f>'TE BE'!$M$27*'TE BE'!$M$48</f>
        <v>0</v>
      </c>
      <c r="N27" s="30">
        <f>'TE BE'!$N$27*'TE BE'!$N$48</f>
        <v>0</v>
      </c>
      <c r="O27" s="30">
        <f>'TE BE'!$O$27*'TE BE'!$O$48</f>
        <v>0</v>
      </c>
      <c r="P27" s="30">
        <f>SUM($L$27:$O$27)</f>
        <v>0</v>
      </c>
      <c r="Q27" s="30">
        <f>'TE BE'!$Q$27*'TE BE'!$Q$48</f>
        <v>43.344324297488633</v>
      </c>
      <c r="R27" s="30">
        <f>SUM($Q$27:$Q$27)</f>
        <v>43.344324297488633</v>
      </c>
      <c r="S27" s="30">
        <f>'TE BE'!$S$27*'TE BE'!$S$48</f>
        <v>0</v>
      </c>
      <c r="T27" s="30">
        <f>'TE BE'!$T$27*'TE BE'!$T$48</f>
        <v>0</v>
      </c>
      <c r="U27" s="30">
        <f>'TE BE'!$U$27*'TE BE'!$U$48</f>
        <v>0</v>
      </c>
      <c r="V27" s="30">
        <f>SUM($S$27:$U$27)</f>
        <v>0</v>
      </c>
      <c r="W27" s="30">
        <f>'TE BE'!$AA$27*'TE BE'!$W$48</f>
        <v>0</v>
      </c>
      <c r="X27" s="30">
        <f>SUM($W$27:$W$27)</f>
        <v>0</v>
      </c>
      <c r="Y27" s="30">
        <f>'TE BE'!$Y$27*'TE BE'!$Y$48</f>
        <v>0</v>
      </c>
      <c r="Z27" s="30">
        <f>SUM($Y$27:$Y$27)</f>
        <v>0</v>
      </c>
      <c r="AA27" s="30">
        <f>SUMIF($L$4:$Z$4,"SUBTOTAL",$L$27:$Z$27)</f>
        <v>43.344324297488633</v>
      </c>
    </row>
    <row r="28" spans="1:27" ht="11.25" customHeight="1" x14ac:dyDescent="0.3">
      <c r="A28" s="129"/>
      <c r="B28" s="129" t="s">
        <v>66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2" t="s">
        <v>68</v>
      </c>
      <c r="H28" s="32" t="s">
        <v>67</v>
      </c>
      <c r="I28" s="32">
        <f>'MERCADO TE'!$U$25</f>
        <v>0</v>
      </c>
      <c r="J28" s="17"/>
      <c r="L28" s="30">
        <f>'TE BE'!$L$28*'TE BE'!$L$48</f>
        <v>0</v>
      </c>
      <c r="M28" s="30">
        <f>'TE BE'!$M$28*'TE BE'!$M$48</f>
        <v>0</v>
      </c>
      <c r="N28" s="30">
        <f>'TE BE'!$N$28*'TE BE'!$N$48</f>
        <v>0</v>
      </c>
      <c r="O28" s="30">
        <f>'TE BE'!$O$28*'TE BE'!$O$48</f>
        <v>0</v>
      </c>
      <c r="P28" s="30">
        <f>SUM($L$28:$O$28)</f>
        <v>0</v>
      </c>
      <c r="Q28" s="30">
        <f>'TE BE'!$Q$28*'TE BE'!$Q$48</f>
        <v>43.344324297488633</v>
      </c>
      <c r="R28" s="30">
        <f>SUM($Q$28:$Q$28)</f>
        <v>43.344324297488633</v>
      </c>
      <c r="S28" s="30">
        <f>'TE BE'!$S$28*'TE BE'!$S$48</f>
        <v>0</v>
      </c>
      <c r="T28" s="30">
        <f>'TE BE'!$T$28*'TE BE'!$T$48</f>
        <v>0</v>
      </c>
      <c r="U28" s="30">
        <f>'TE BE'!$U$28*'TE BE'!$U$48</f>
        <v>0</v>
      </c>
      <c r="V28" s="30">
        <f>SUM($S$28:$U$28)</f>
        <v>0</v>
      </c>
      <c r="W28" s="30">
        <f>'TE BE'!$AA$28*'TE BE'!$W$48</f>
        <v>0</v>
      </c>
      <c r="X28" s="30">
        <f>SUM($W$28:$W$28)</f>
        <v>0</v>
      </c>
      <c r="Y28" s="30">
        <f>'TE BE'!$Y$28*'TE BE'!$Y$48</f>
        <v>0</v>
      </c>
      <c r="Z28" s="30">
        <f>SUM($Y$28:$Y$28)</f>
        <v>0</v>
      </c>
      <c r="AA28" s="30">
        <f>SUMIF($L$4:$Z$4,"SUBTOTAL",$L$28:$Z$28)</f>
        <v>43.344324297488633</v>
      </c>
    </row>
    <row r="29" spans="1:27" ht="11.25" customHeight="1" x14ac:dyDescent="0.3">
      <c r="A29" s="129"/>
      <c r="B29" s="129"/>
      <c r="C29" s="129"/>
      <c r="D29" s="129"/>
      <c r="E29" s="129"/>
      <c r="F29" s="129"/>
      <c r="G29" s="32" t="s">
        <v>80</v>
      </c>
      <c r="H29" s="32" t="s">
        <v>67</v>
      </c>
      <c r="I29" s="32">
        <f>'MERCADO TE'!$U$26</f>
        <v>0</v>
      </c>
      <c r="J29" s="17"/>
      <c r="L29" s="30">
        <f>'TE BE'!$L$29*'TE BE'!$L$48</f>
        <v>0</v>
      </c>
      <c r="M29" s="30">
        <f>'TE BE'!$M$29*'TE BE'!$M$48</f>
        <v>0</v>
      </c>
      <c r="N29" s="30">
        <f>'TE BE'!$N$29*'TE BE'!$N$48</f>
        <v>0</v>
      </c>
      <c r="O29" s="30">
        <f>'TE BE'!$O$29*'TE BE'!$O$48</f>
        <v>0</v>
      </c>
      <c r="P29" s="30">
        <f>SUM($L$29:$O$29)</f>
        <v>0</v>
      </c>
      <c r="Q29" s="30">
        <f>'TE BE'!$Q$29*'TE BE'!$Q$48</f>
        <v>43.344324297488633</v>
      </c>
      <c r="R29" s="30">
        <f>SUM($Q$29:$Q$29)</f>
        <v>43.344324297488633</v>
      </c>
      <c r="S29" s="30">
        <f>'TE BE'!$S$29*'TE BE'!$S$48</f>
        <v>0</v>
      </c>
      <c r="T29" s="30">
        <f>'TE BE'!$T$29*'TE BE'!$T$48</f>
        <v>0</v>
      </c>
      <c r="U29" s="30">
        <f>'TE BE'!$U$29*'TE BE'!$U$48</f>
        <v>0</v>
      </c>
      <c r="V29" s="30">
        <f>SUM($S$29:$U$29)</f>
        <v>0</v>
      </c>
      <c r="W29" s="30">
        <f>'TE BE'!$AA$29*'TE BE'!$W$48</f>
        <v>0</v>
      </c>
      <c r="X29" s="30">
        <f>SUM($W$29:$W$29)</f>
        <v>0</v>
      </c>
      <c r="Y29" s="30">
        <f>'TE BE'!$Y$29*'TE BE'!$Y$48</f>
        <v>0</v>
      </c>
      <c r="Z29" s="30">
        <f>SUM($Y$29:$Y$29)</f>
        <v>0</v>
      </c>
      <c r="AA29" s="30">
        <f>SUMIF($L$4:$Z$4,"SUBTOTAL",$L$29:$Z$29)</f>
        <v>43.344324297488633</v>
      </c>
    </row>
    <row r="30" spans="1:27" ht="11.25" customHeight="1" x14ac:dyDescent="0.3">
      <c r="A30" s="129"/>
      <c r="B30" s="129"/>
      <c r="C30" s="129"/>
      <c r="D30" s="129"/>
      <c r="E30" s="129"/>
      <c r="F30" s="129"/>
      <c r="G30" s="32" t="s">
        <v>69</v>
      </c>
      <c r="H30" s="32" t="s">
        <v>67</v>
      </c>
      <c r="I30" s="32">
        <f>'MERCADO TE'!$U$27</f>
        <v>0</v>
      </c>
      <c r="J30" s="17"/>
      <c r="L30" s="30">
        <f>'TE BE'!$L$30*'TE BE'!$L$48</f>
        <v>0</v>
      </c>
      <c r="M30" s="30">
        <f>'TE BE'!$M$30*'TE BE'!$M$48</f>
        <v>0</v>
      </c>
      <c r="N30" s="30">
        <f>'TE BE'!$N$30*'TE BE'!$N$48</f>
        <v>0</v>
      </c>
      <c r="O30" s="30">
        <f>'TE BE'!$O$30*'TE BE'!$O$48</f>
        <v>0</v>
      </c>
      <c r="P30" s="30">
        <f>SUM($L$30:$O$30)</f>
        <v>0</v>
      </c>
      <c r="Q30" s="30">
        <f>'TE BE'!$Q$30*'TE BE'!$Q$48</f>
        <v>43.344324297488633</v>
      </c>
      <c r="R30" s="30">
        <f>SUM($Q$30:$Q$30)</f>
        <v>43.344324297488633</v>
      </c>
      <c r="S30" s="30">
        <f>'TE BE'!$S$30*'TE BE'!$S$48</f>
        <v>0</v>
      </c>
      <c r="T30" s="30">
        <f>'TE BE'!$T$30*'TE BE'!$T$48</f>
        <v>0</v>
      </c>
      <c r="U30" s="30">
        <f>'TE BE'!$U$30*'TE BE'!$U$48</f>
        <v>0</v>
      </c>
      <c r="V30" s="30">
        <f>SUM($S$30:$U$30)</f>
        <v>0</v>
      </c>
      <c r="W30" s="30">
        <f>'TE BE'!$AA$30*'TE BE'!$W$48</f>
        <v>0</v>
      </c>
      <c r="X30" s="30">
        <f>SUM($W$30:$W$30)</f>
        <v>0</v>
      </c>
      <c r="Y30" s="30">
        <f>'TE BE'!$Y$30*'TE BE'!$Y$48</f>
        <v>0</v>
      </c>
      <c r="Z30" s="30">
        <f>SUM($Y$30:$Y$30)</f>
        <v>0</v>
      </c>
      <c r="AA30" s="30">
        <f>SUMIF($L$4:$Z$4,"SUBTOTAL",$L$30:$Z$30)</f>
        <v>43.344324297488633</v>
      </c>
    </row>
    <row r="31" spans="1:27" ht="11.25" customHeight="1" x14ac:dyDescent="0.3">
      <c r="A31" s="129"/>
      <c r="B31" s="38" t="s">
        <v>81</v>
      </c>
      <c r="C31" s="38" t="s">
        <v>41</v>
      </c>
      <c r="D31" s="38" t="s">
        <v>86</v>
      </c>
      <c r="E31" s="38" t="s">
        <v>25</v>
      </c>
      <c r="F31" s="38" t="s">
        <v>25</v>
      </c>
      <c r="G31" s="32" t="s">
        <v>74</v>
      </c>
      <c r="H31" s="32" t="s">
        <v>67</v>
      </c>
      <c r="I31" s="32">
        <f>'MERCADO TE'!$U$28</f>
        <v>0</v>
      </c>
      <c r="J31" s="17"/>
      <c r="L31" s="30">
        <f>'TE BE'!$L$31*'TE BE'!$L$48</f>
        <v>0</v>
      </c>
      <c r="M31" s="30">
        <f>'TE BE'!$M$31*'TE BE'!$M$48</f>
        <v>0</v>
      </c>
      <c r="N31" s="30">
        <f>'TE BE'!$N$31*'TE BE'!$N$48</f>
        <v>0</v>
      </c>
      <c r="O31" s="30">
        <f>'TE BE'!$O$31*'TE BE'!$O$48</f>
        <v>0</v>
      </c>
      <c r="P31" s="30">
        <f>SUM($L$31:$O$31)</f>
        <v>0</v>
      </c>
      <c r="Q31" s="30">
        <f>'TE BE'!$Q$31*'TE BE'!$Q$48</f>
        <v>43.344324297488633</v>
      </c>
      <c r="R31" s="30">
        <f>SUM($Q$31:$Q$31)</f>
        <v>43.344324297488633</v>
      </c>
      <c r="S31" s="30">
        <f>'TE BE'!$S$31*'TE BE'!$S$48</f>
        <v>0</v>
      </c>
      <c r="T31" s="30">
        <f>'TE BE'!$T$31*'TE BE'!$T$48</f>
        <v>0</v>
      </c>
      <c r="U31" s="30">
        <f>'TE BE'!$U$31*'TE BE'!$U$48</f>
        <v>0</v>
      </c>
      <c r="V31" s="30">
        <f>SUM($S$31:$U$31)</f>
        <v>0</v>
      </c>
      <c r="W31" s="30">
        <f>'TE BE'!$AA$31*'TE BE'!$W$48</f>
        <v>0</v>
      </c>
      <c r="X31" s="30">
        <f>SUM($W$31:$W$31)</f>
        <v>0</v>
      </c>
      <c r="Y31" s="30">
        <f>'TE BE'!$Y$31*'TE BE'!$Y$48</f>
        <v>0</v>
      </c>
      <c r="Z31" s="30">
        <f>SUM($Y$31:$Y$31)</f>
        <v>0</v>
      </c>
      <c r="AA31" s="30">
        <f>SUMIF($L$4:$Z$4,"SUBTOTAL",$L$31:$Z$31)</f>
        <v>43.344324297488633</v>
      </c>
    </row>
    <row r="32" spans="1:27" ht="11.25" customHeight="1" x14ac:dyDescent="0.3">
      <c r="A32" s="129"/>
      <c r="B32" s="129" t="s">
        <v>83</v>
      </c>
      <c r="C32" s="129" t="s">
        <v>41</v>
      </c>
      <c r="D32" s="38" t="s">
        <v>25</v>
      </c>
      <c r="E32" s="38" t="s">
        <v>25</v>
      </c>
      <c r="F32" s="38" t="s">
        <v>25</v>
      </c>
      <c r="G32" s="32" t="s">
        <v>74</v>
      </c>
      <c r="H32" s="32" t="s">
        <v>67</v>
      </c>
      <c r="I32" s="32">
        <f>'MERCADO TE'!$U$29</f>
        <v>0</v>
      </c>
      <c r="J32" s="17"/>
      <c r="L32" s="30">
        <f>'TE BE'!$L$32*'TE BE'!$L$48</f>
        <v>0</v>
      </c>
      <c r="M32" s="30">
        <f>'TE BE'!$M$32*'TE BE'!$M$48</f>
        <v>0</v>
      </c>
      <c r="N32" s="30">
        <f>'TE BE'!$N$32*'TE BE'!$N$48</f>
        <v>0</v>
      </c>
      <c r="O32" s="30">
        <f>'TE BE'!$O$32*'TE BE'!$O$48</f>
        <v>0</v>
      </c>
      <c r="P32" s="30">
        <f>SUM($L$32:$O$32)</f>
        <v>0</v>
      </c>
      <c r="Q32" s="30">
        <f>'TE BE'!$Q$32*'TE BE'!$Q$48</f>
        <v>43.344324297488633</v>
      </c>
      <c r="R32" s="30">
        <f>SUM($Q$32:$Q$32)</f>
        <v>43.344324297488633</v>
      </c>
      <c r="S32" s="30">
        <f>'TE BE'!$S$32*'TE BE'!$S$48</f>
        <v>0</v>
      </c>
      <c r="T32" s="30">
        <f>'TE BE'!$T$32*'TE BE'!$T$48</f>
        <v>0</v>
      </c>
      <c r="U32" s="30">
        <f>'TE BE'!$U$32*'TE BE'!$U$48</f>
        <v>0</v>
      </c>
      <c r="V32" s="30">
        <f>SUM($S$32:$U$32)</f>
        <v>0</v>
      </c>
      <c r="W32" s="30">
        <f>'TE BE'!$AA$32*'TE BE'!$W$48</f>
        <v>0</v>
      </c>
      <c r="X32" s="30">
        <f>SUM($W$32:$W$32)</f>
        <v>0</v>
      </c>
      <c r="Y32" s="30">
        <f>'TE BE'!$Y$32*'TE BE'!$Y$48</f>
        <v>0</v>
      </c>
      <c r="Z32" s="30">
        <f>SUM($Y$32:$Y$32)</f>
        <v>0</v>
      </c>
      <c r="AA32" s="30">
        <f>SUMIF($L$4:$Z$4,"SUBTOTAL",$L$32:$Z$32)</f>
        <v>43.344324297488633</v>
      </c>
    </row>
    <row r="33" spans="1:27" ht="11.25" customHeight="1" x14ac:dyDescent="0.3">
      <c r="A33" s="129"/>
      <c r="B33" s="129"/>
      <c r="C33" s="129"/>
      <c r="D33" s="38" t="s">
        <v>85</v>
      </c>
      <c r="E33" s="38" t="s">
        <v>25</v>
      </c>
      <c r="F33" s="38" t="s">
        <v>25</v>
      </c>
      <c r="G33" s="32" t="s">
        <v>74</v>
      </c>
      <c r="H33" s="32" t="s">
        <v>67</v>
      </c>
      <c r="I33" s="32">
        <f>'MERCADO TE'!$U$30</f>
        <v>0</v>
      </c>
      <c r="J33" s="17"/>
      <c r="L33" s="30">
        <f>'TE BE'!$L$33*'TE BE'!$L$48</f>
        <v>0</v>
      </c>
      <c r="M33" s="30">
        <f>'TE BE'!$M$33*'TE BE'!$M$48</f>
        <v>0</v>
      </c>
      <c r="N33" s="30">
        <f>'TE BE'!$N$33*'TE BE'!$N$48</f>
        <v>0</v>
      </c>
      <c r="O33" s="30">
        <f>'TE BE'!$O$33*'TE BE'!$O$48</f>
        <v>0</v>
      </c>
      <c r="P33" s="30">
        <f>SUM($L$33:$O$33)</f>
        <v>0</v>
      </c>
      <c r="Q33" s="30">
        <f>'TE BE'!$Q$33*'TE BE'!$Q$48</f>
        <v>43.344324297488633</v>
      </c>
      <c r="R33" s="30">
        <f>SUM($Q$33:$Q$33)</f>
        <v>43.344324297488633</v>
      </c>
      <c r="S33" s="30">
        <f>'TE BE'!$S$33*'TE BE'!$S$48</f>
        <v>0</v>
      </c>
      <c r="T33" s="30">
        <f>'TE BE'!$T$33*'TE BE'!$T$48</f>
        <v>0</v>
      </c>
      <c r="U33" s="30">
        <f>'TE BE'!$U$33*'TE BE'!$U$48</f>
        <v>0</v>
      </c>
      <c r="V33" s="30">
        <f>SUM($S$33:$U$33)</f>
        <v>0</v>
      </c>
      <c r="W33" s="30">
        <f>'TE BE'!$AA$33*'TE BE'!$W$48</f>
        <v>0</v>
      </c>
      <c r="X33" s="30">
        <f>SUM($W$33:$W$33)</f>
        <v>0</v>
      </c>
      <c r="Y33" s="30">
        <f>'TE BE'!$Y$33*'TE BE'!$Y$48</f>
        <v>0</v>
      </c>
      <c r="Z33" s="30">
        <f>SUM($Y$33:$Y$33)</f>
        <v>0</v>
      </c>
      <c r="AA33" s="30">
        <f>SUMIF($L$4:$Z$4,"SUBTOTAL",$L$33:$Z$33)</f>
        <v>43.344324297488633</v>
      </c>
    </row>
    <row r="34" spans="1:27" ht="11.25" customHeight="1" x14ac:dyDescent="0.3">
      <c r="A34" s="129"/>
      <c r="B34" s="129"/>
      <c r="C34" s="129"/>
      <c r="D34" s="38" t="s">
        <v>86</v>
      </c>
      <c r="E34" s="38" t="s">
        <v>25</v>
      </c>
      <c r="F34" s="38" t="s">
        <v>25</v>
      </c>
      <c r="G34" s="32" t="s">
        <v>74</v>
      </c>
      <c r="H34" s="32" t="s">
        <v>67</v>
      </c>
      <c r="I34" s="32">
        <f>'MERCADO TE'!$U$31</f>
        <v>0</v>
      </c>
      <c r="J34" s="17"/>
      <c r="L34" s="30">
        <f>'TE BE'!$L$34*'TE BE'!$L$48</f>
        <v>0</v>
      </c>
      <c r="M34" s="30">
        <f>'TE BE'!$M$34*'TE BE'!$M$48</f>
        <v>0</v>
      </c>
      <c r="N34" s="30">
        <f>'TE BE'!$N$34*'TE BE'!$N$48</f>
        <v>0</v>
      </c>
      <c r="O34" s="30">
        <f>'TE BE'!$O$34*'TE BE'!$O$48</f>
        <v>0</v>
      </c>
      <c r="P34" s="30">
        <f>SUM($L$34:$O$34)</f>
        <v>0</v>
      </c>
      <c r="Q34" s="30">
        <f>'TE BE'!$Q$34*'TE BE'!$Q$48</f>
        <v>43.344324297488633</v>
      </c>
      <c r="R34" s="30">
        <f>SUM($Q$34:$Q$34)</f>
        <v>43.344324297488633</v>
      </c>
      <c r="S34" s="30">
        <f>'TE BE'!$S$34*'TE BE'!$S$48</f>
        <v>0</v>
      </c>
      <c r="T34" s="30">
        <f>'TE BE'!$T$34*'TE BE'!$T$48</f>
        <v>0</v>
      </c>
      <c r="U34" s="30">
        <f>'TE BE'!$U$34*'TE BE'!$U$48</f>
        <v>0</v>
      </c>
      <c r="V34" s="30">
        <f>SUM($S$34:$U$34)</f>
        <v>0</v>
      </c>
      <c r="W34" s="30">
        <f>'TE BE'!$AA$34*'TE BE'!$W$48</f>
        <v>0</v>
      </c>
      <c r="X34" s="30">
        <f>SUM($W$34:$W$34)</f>
        <v>0</v>
      </c>
      <c r="Y34" s="30">
        <f>'TE BE'!$Y$34*'TE BE'!$Y$48</f>
        <v>0</v>
      </c>
      <c r="Z34" s="30">
        <f>SUM($Y$34:$Y$34)</f>
        <v>0</v>
      </c>
      <c r="AA34" s="30">
        <f>SUMIF($L$4:$Z$4,"SUBTOTAL",$L$34:$Z$34)</f>
        <v>43.344324297488633</v>
      </c>
    </row>
    <row r="35" spans="1:27" ht="11.25" customHeight="1" x14ac:dyDescent="0.3">
      <c r="A35" s="129" t="s">
        <v>33</v>
      </c>
      <c r="B35" s="129" t="s">
        <v>66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2" t="s">
        <v>68</v>
      </c>
      <c r="H35" s="32" t="s">
        <v>67</v>
      </c>
      <c r="I35" s="32">
        <f>'MERCADO TE'!$U$32</f>
        <v>0</v>
      </c>
      <c r="J35" s="17"/>
      <c r="L35" s="30">
        <f>'TE BE'!$L$35*'TE BE'!$L$48</f>
        <v>0</v>
      </c>
      <c r="M35" s="30">
        <f>'TE BE'!$M$35*'TE BE'!$M$48</f>
        <v>0</v>
      </c>
      <c r="N35" s="30">
        <f>'TE BE'!$N$35*'TE BE'!$N$48</f>
        <v>0</v>
      </c>
      <c r="O35" s="30">
        <f>'TE BE'!$O$35*'TE BE'!$O$48</f>
        <v>0</v>
      </c>
      <c r="P35" s="30">
        <f>SUM($L$35:$O$35)</f>
        <v>0</v>
      </c>
      <c r="Q35" s="30">
        <f>'TE BE'!$Q$35*'TE BE'!$Q$48</f>
        <v>43.344324297488633</v>
      </c>
      <c r="R35" s="30">
        <f>SUM($Q$35:$Q$35)</f>
        <v>43.344324297488633</v>
      </c>
      <c r="S35" s="30">
        <f>'TE BE'!$S$35*'TE BE'!$S$48</f>
        <v>0</v>
      </c>
      <c r="T35" s="30">
        <f>'TE BE'!$T$35*'TE BE'!$T$48</f>
        <v>0</v>
      </c>
      <c r="U35" s="30">
        <f>'TE BE'!$U$35*'TE BE'!$U$48</f>
        <v>0</v>
      </c>
      <c r="V35" s="30">
        <f>SUM($S$35:$U$35)</f>
        <v>0</v>
      </c>
      <c r="W35" s="30">
        <f>'TE BE'!$AA$35*'TE BE'!$W$48</f>
        <v>0</v>
      </c>
      <c r="X35" s="30">
        <f>SUM($W$35:$W$35)</f>
        <v>0</v>
      </c>
      <c r="Y35" s="30">
        <f>'TE BE'!$Y$35*'TE BE'!$Y$48</f>
        <v>0</v>
      </c>
      <c r="Z35" s="30">
        <f>SUM($Y$35:$Y$35)</f>
        <v>0</v>
      </c>
      <c r="AA35" s="30">
        <f>SUMIF($L$4:$Z$4,"SUBTOTAL",$L$35:$Z$35)</f>
        <v>43.344324297488633</v>
      </c>
    </row>
    <row r="36" spans="1:27" ht="11.25" customHeight="1" x14ac:dyDescent="0.3">
      <c r="A36" s="129"/>
      <c r="B36" s="129"/>
      <c r="C36" s="129"/>
      <c r="D36" s="129"/>
      <c r="E36" s="129"/>
      <c r="F36" s="129"/>
      <c r="G36" s="32" t="s">
        <v>80</v>
      </c>
      <c r="H36" s="32" t="s">
        <v>67</v>
      </c>
      <c r="I36" s="32">
        <f>'MERCADO TE'!$U$33</f>
        <v>0</v>
      </c>
      <c r="J36" s="17"/>
      <c r="L36" s="30">
        <f>'TE BE'!$L$36*'TE BE'!$L$48</f>
        <v>0</v>
      </c>
      <c r="M36" s="30">
        <f>'TE BE'!$M$36*'TE BE'!$M$48</f>
        <v>0</v>
      </c>
      <c r="N36" s="30">
        <f>'TE BE'!$N$36*'TE BE'!$N$48</f>
        <v>0</v>
      </c>
      <c r="O36" s="30">
        <f>'TE BE'!$O$36*'TE BE'!$O$48</f>
        <v>0</v>
      </c>
      <c r="P36" s="30">
        <f>SUM($L$36:$O$36)</f>
        <v>0</v>
      </c>
      <c r="Q36" s="30">
        <f>'TE BE'!$Q$36*'TE BE'!$Q$48</f>
        <v>43.344324297488633</v>
      </c>
      <c r="R36" s="30">
        <f>SUM($Q$36:$Q$36)</f>
        <v>43.344324297488633</v>
      </c>
      <c r="S36" s="30">
        <f>'TE BE'!$S$36*'TE BE'!$S$48</f>
        <v>0</v>
      </c>
      <c r="T36" s="30">
        <f>'TE BE'!$T$36*'TE BE'!$T$48</f>
        <v>0</v>
      </c>
      <c r="U36" s="30">
        <f>'TE BE'!$U$36*'TE BE'!$U$48</f>
        <v>0</v>
      </c>
      <c r="V36" s="30">
        <f>SUM($S$36:$U$36)</f>
        <v>0</v>
      </c>
      <c r="W36" s="30">
        <f>'TE BE'!$AA$36*'TE BE'!$W$48</f>
        <v>0</v>
      </c>
      <c r="X36" s="30">
        <f>SUM($W$36:$W$36)</f>
        <v>0</v>
      </c>
      <c r="Y36" s="30">
        <f>'TE BE'!$Y$36*'TE BE'!$Y$48</f>
        <v>0</v>
      </c>
      <c r="Z36" s="30">
        <f>SUM($Y$36:$Y$36)</f>
        <v>0</v>
      </c>
      <c r="AA36" s="30">
        <f>SUMIF($L$4:$Z$4,"SUBTOTAL",$L$36:$Z$36)</f>
        <v>43.344324297488633</v>
      </c>
    </row>
    <row r="37" spans="1:27" ht="11.25" customHeight="1" x14ac:dyDescent="0.3">
      <c r="A37" s="129"/>
      <c r="B37" s="129"/>
      <c r="C37" s="129"/>
      <c r="D37" s="129"/>
      <c r="E37" s="129"/>
      <c r="F37" s="129"/>
      <c r="G37" s="32" t="s">
        <v>69</v>
      </c>
      <c r="H37" s="32" t="s">
        <v>67</v>
      </c>
      <c r="I37" s="32">
        <f>'MERCADO TE'!$U$34</f>
        <v>0</v>
      </c>
      <c r="J37" s="17"/>
      <c r="L37" s="30">
        <f>'TE BE'!$L$37*'TE BE'!$L$48</f>
        <v>0</v>
      </c>
      <c r="M37" s="30">
        <f>'TE BE'!$M$37*'TE BE'!$M$48</f>
        <v>0</v>
      </c>
      <c r="N37" s="30">
        <f>'TE BE'!$N$37*'TE BE'!$N$48</f>
        <v>0</v>
      </c>
      <c r="O37" s="30">
        <f>'TE BE'!$O$37*'TE BE'!$O$48</f>
        <v>0</v>
      </c>
      <c r="P37" s="30">
        <f>SUM($L$37:$O$37)</f>
        <v>0</v>
      </c>
      <c r="Q37" s="30">
        <f>'TE BE'!$Q$37*'TE BE'!$Q$48</f>
        <v>43.344324297488633</v>
      </c>
      <c r="R37" s="30">
        <f>SUM($Q$37:$Q$37)</f>
        <v>43.344324297488633</v>
      </c>
      <c r="S37" s="30">
        <f>'TE BE'!$S$37*'TE BE'!$S$48</f>
        <v>0</v>
      </c>
      <c r="T37" s="30">
        <f>'TE BE'!$T$37*'TE BE'!$T$48</f>
        <v>0</v>
      </c>
      <c r="U37" s="30">
        <f>'TE BE'!$U$37*'TE BE'!$U$48</f>
        <v>0</v>
      </c>
      <c r="V37" s="30">
        <f>SUM($S$37:$U$37)</f>
        <v>0</v>
      </c>
      <c r="W37" s="30">
        <f>'TE BE'!$AA$37*'TE BE'!$W$48</f>
        <v>0</v>
      </c>
      <c r="X37" s="30">
        <f>SUM($W$37:$W$37)</f>
        <v>0</v>
      </c>
      <c r="Y37" s="30">
        <f>'TE BE'!$Y$37*'TE BE'!$Y$48</f>
        <v>0</v>
      </c>
      <c r="Z37" s="30">
        <f>SUM($Y$37:$Y$37)</f>
        <v>0</v>
      </c>
      <c r="AA37" s="30">
        <f>SUMIF($L$4:$Z$4,"SUBTOTAL",$L$37:$Z$37)</f>
        <v>43.344324297488633</v>
      </c>
    </row>
    <row r="38" spans="1:27" ht="11.25" customHeight="1" x14ac:dyDescent="0.3">
      <c r="A38" s="129"/>
      <c r="B38" s="38" t="s">
        <v>81</v>
      </c>
      <c r="C38" s="38" t="s">
        <v>25</v>
      </c>
      <c r="D38" s="38" t="s">
        <v>25</v>
      </c>
      <c r="E38" s="38" t="s">
        <v>25</v>
      </c>
      <c r="F38" s="38" t="s">
        <v>25</v>
      </c>
      <c r="G38" s="32" t="s">
        <v>74</v>
      </c>
      <c r="H38" s="32" t="s">
        <v>67</v>
      </c>
      <c r="I38" s="32">
        <f>'MERCADO TE'!$U$35</f>
        <v>6518.4639999999999</v>
      </c>
      <c r="J38" s="17"/>
      <c r="L38" s="30">
        <f>'TE BE'!$L$38*'TE BE'!$L$48</f>
        <v>0</v>
      </c>
      <c r="M38" s="30">
        <f>'TE BE'!$M$38*'TE BE'!$M$48</f>
        <v>0</v>
      </c>
      <c r="N38" s="30">
        <f>'TE BE'!$N$38*'TE BE'!$N$48</f>
        <v>0</v>
      </c>
      <c r="O38" s="30">
        <f>'TE BE'!$O$38*'TE BE'!$O$48</f>
        <v>0</v>
      </c>
      <c r="P38" s="30">
        <f>SUM($L$38:$O$38)</f>
        <v>0</v>
      </c>
      <c r="Q38" s="30">
        <f>'TE BE'!$Q$38*'TE BE'!$Q$48</f>
        <v>43.344324297488633</v>
      </c>
      <c r="R38" s="30">
        <f>SUM($Q$38:$Q$38)</f>
        <v>43.344324297488633</v>
      </c>
      <c r="S38" s="30">
        <f>'TE BE'!$S$38*'TE BE'!$S$48</f>
        <v>0</v>
      </c>
      <c r="T38" s="30">
        <f>'TE BE'!$T$38*'TE BE'!$T$48</f>
        <v>0</v>
      </c>
      <c r="U38" s="30">
        <f>'TE BE'!$U$38*'TE BE'!$U$48</f>
        <v>0</v>
      </c>
      <c r="V38" s="30">
        <f>SUM($S$38:$U$38)</f>
        <v>0</v>
      </c>
      <c r="W38" s="30">
        <f>'TE BE'!$AA$38*'TE BE'!$W$48</f>
        <v>0</v>
      </c>
      <c r="X38" s="30">
        <f>SUM($W$38:$W$38)</f>
        <v>0</v>
      </c>
      <c r="Y38" s="30">
        <f>'TE BE'!$Y$38*'TE BE'!$Y$48</f>
        <v>0</v>
      </c>
      <c r="Z38" s="30">
        <f>SUM($Y$38:$Y$38)</f>
        <v>0</v>
      </c>
      <c r="AA38" s="30">
        <f>SUMIF($L$4:$Z$4,"SUBTOTAL",$L$38:$Z$38)</f>
        <v>43.344324297488633</v>
      </c>
    </row>
    <row r="39" spans="1:27" ht="11.25" customHeight="1" x14ac:dyDescent="0.3">
      <c r="A39" s="129"/>
      <c r="B39" s="38" t="s">
        <v>83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74</v>
      </c>
      <c r="H39" s="32" t="s">
        <v>67</v>
      </c>
      <c r="I39" s="32">
        <f>'MERCADO TE'!$U$36</f>
        <v>0</v>
      </c>
      <c r="J39" s="17"/>
      <c r="L39" s="30">
        <f>'TE BE'!$L$39*'TE BE'!$L$48</f>
        <v>0</v>
      </c>
      <c r="M39" s="30">
        <f>'TE BE'!$M$39*'TE BE'!$M$48</f>
        <v>0</v>
      </c>
      <c r="N39" s="30">
        <f>'TE BE'!$N$39*'TE BE'!$N$48</f>
        <v>0</v>
      </c>
      <c r="O39" s="30">
        <f>'TE BE'!$O$39*'TE BE'!$O$48</f>
        <v>0</v>
      </c>
      <c r="P39" s="30">
        <f>SUM($L$39:$O$39)</f>
        <v>0</v>
      </c>
      <c r="Q39" s="30">
        <f>'TE BE'!$Q$39*'TE BE'!$Q$48</f>
        <v>43.344324297488633</v>
      </c>
      <c r="R39" s="30">
        <f>SUM($Q$39:$Q$39)</f>
        <v>43.344324297488633</v>
      </c>
      <c r="S39" s="30">
        <f>'TE BE'!$S$39*'TE BE'!$S$48</f>
        <v>0</v>
      </c>
      <c r="T39" s="30">
        <f>'TE BE'!$T$39*'TE BE'!$T$48</f>
        <v>0</v>
      </c>
      <c r="U39" s="30">
        <f>'TE BE'!$U$39*'TE BE'!$U$48</f>
        <v>0</v>
      </c>
      <c r="V39" s="30">
        <f>SUM($S$39:$U$39)</f>
        <v>0</v>
      </c>
      <c r="W39" s="30">
        <f>'TE BE'!$AA$39*'TE BE'!$W$48</f>
        <v>0</v>
      </c>
      <c r="X39" s="30">
        <f>SUM($W$39:$W$39)</f>
        <v>0</v>
      </c>
      <c r="Y39" s="30">
        <f>'TE BE'!$Y$39*'TE BE'!$Y$48</f>
        <v>0</v>
      </c>
      <c r="Z39" s="30">
        <f>SUM($Y$39:$Y$39)</f>
        <v>0</v>
      </c>
      <c r="AA39" s="30">
        <f>SUMIF($L$4:$Z$4,"SUBTOTAL",$L$39:$Z$39)</f>
        <v>43.344324297488633</v>
      </c>
    </row>
    <row r="40" spans="1:27" ht="11.25" customHeight="1" x14ac:dyDescent="0.3">
      <c r="A40" s="129" t="s">
        <v>43</v>
      </c>
      <c r="B40" s="129" t="s">
        <v>81</v>
      </c>
      <c r="C40" s="129" t="s">
        <v>44</v>
      </c>
      <c r="D40" s="38" t="s">
        <v>45</v>
      </c>
      <c r="E40" s="38" t="s">
        <v>25</v>
      </c>
      <c r="F40" s="38" t="s">
        <v>25</v>
      </c>
      <c r="G40" s="32" t="s">
        <v>74</v>
      </c>
      <c r="H40" s="32" t="s">
        <v>67</v>
      </c>
      <c r="I40" s="32">
        <f>'MERCADO TE'!$U$37</f>
        <v>665.90099999999984</v>
      </c>
      <c r="J40" s="17"/>
      <c r="L40" s="30">
        <f>'TE BE'!$L$40*'TE BE'!$L$48</f>
        <v>0</v>
      </c>
      <c r="M40" s="30">
        <f>'TE BE'!$M$40*'TE BE'!$M$48</f>
        <v>0</v>
      </c>
      <c r="N40" s="30">
        <f>'TE BE'!$N$40*'TE BE'!$N$48</f>
        <v>0</v>
      </c>
      <c r="O40" s="30">
        <f>'TE BE'!$O$40*'TE BE'!$O$48</f>
        <v>0</v>
      </c>
      <c r="P40" s="30">
        <f>SUM($L$40:$O$40)</f>
        <v>0</v>
      </c>
      <c r="Q40" s="30">
        <f>'TE BE'!$Q$40*'TE BE'!$Q$48</f>
        <v>22.972491877668979</v>
      </c>
      <c r="R40" s="30">
        <f>SUM($Q$40:$Q$40)</f>
        <v>22.972491877668979</v>
      </c>
      <c r="S40" s="30">
        <f>'TE BE'!$S$40*'TE BE'!$S$48</f>
        <v>0</v>
      </c>
      <c r="T40" s="30">
        <f>'TE BE'!$T$40*'TE BE'!$T$48</f>
        <v>0</v>
      </c>
      <c r="U40" s="30">
        <f>'TE BE'!$U$40*'TE BE'!$U$48</f>
        <v>0</v>
      </c>
      <c r="V40" s="30">
        <f>SUM($S$40:$U$40)</f>
        <v>0</v>
      </c>
      <c r="W40" s="30">
        <f>'TE BE'!$AA$40*'TE BE'!$W$48</f>
        <v>0</v>
      </c>
      <c r="X40" s="30">
        <f>SUM($W$40:$W$40)</f>
        <v>0</v>
      </c>
      <c r="Y40" s="30">
        <f>'TE BE'!$Y$40*'TE BE'!$Y$48</f>
        <v>0</v>
      </c>
      <c r="Z40" s="30">
        <f>SUM($Y$40:$Y$40)</f>
        <v>0</v>
      </c>
      <c r="AA40" s="30">
        <f>SUMIF($L$4:$Z$4,"SUBTOTAL",$L$40:$Z$40)</f>
        <v>22.972491877668979</v>
      </c>
    </row>
    <row r="41" spans="1:27" ht="11.25" customHeight="1" x14ac:dyDescent="0.3">
      <c r="A41" s="129"/>
      <c r="B41" s="129"/>
      <c r="C41" s="129"/>
      <c r="D41" s="32" t="s">
        <v>87</v>
      </c>
      <c r="E41" s="32" t="s">
        <v>25</v>
      </c>
      <c r="F41" s="32" t="s">
        <v>25</v>
      </c>
      <c r="G41" s="32" t="s">
        <v>74</v>
      </c>
      <c r="H41" s="32" t="s">
        <v>67</v>
      </c>
      <c r="I41" s="32">
        <f>'MERCADO TE'!$U$38</f>
        <v>0</v>
      </c>
      <c r="J41" s="17"/>
      <c r="L41" s="30">
        <f>'TE BE'!$L$41*'TE BE'!$L$48</f>
        <v>0</v>
      </c>
      <c r="M41" s="30">
        <f>'TE BE'!$M$41*'TE BE'!$M$48</f>
        <v>0</v>
      </c>
      <c r="N41" s="30">
        <f>'TE BE'!$N$41*'TE BE'!$N$48</f>
        <v>0</v>
      </c>
      <c r="O41" s="30">
        <f>'TE BE'!$O$41*'TE BE'!$O$48</f>
        <v>0</v>
      </c>
      <c r="P41" s="30">
        <f>SUM($L$41:$O$41)</f>
        <v>0</v>
      </c>
      <c r="Q41" s="30">
        <f>'TE BE'!$Q$41*'TE BE'!$Q$48</f>
        <v>25.139708092543412</v>
      </c>
      <c r="R41" s="30">
        <f>SUM($Q$41:$Q$41)</f>
        <v>25.139708092543412</v>
      </c>
      <c r="S41" s="30">
        <f>'TE BE'!$S$41*'TE BE'!$S$48</f>
        <v>0</v>
      </c>
      <c r="T41" s="30">
        <f>'TE BE'!$T$41*'TE BE'!$T$48</f>
        <v>0</v>
      </c>
      <c r="U41" s="30">
        <f>'TE BE'!$U$41*'TE BE'!$U$48</f>
        <v>0</v>
      </c>
      <c r="V41" s="30">
        <f>SUM($S$41:$U$41)</f>
        <v>0</v>
      </c>
      <c r="W41" s="30">
        <f>'TE BE'!$AA$41*'TE BE'!$W$48</f>
        <v>0</v>
      </c>
      <c r="X41" s="30">
        <f>SUM($W$41:$W$41)</f>
        <v>0</v>
      </c>
      <c r="Y41" s="30">
        <f>'TE BE'!$Y$41*'TE BE'!$Y$48</f>
        <v>0</v>
      </c>
      <c r="Z41" s="30">
        <f>SUM($Y$41:$Y$41)</f>
        <v>0</v>
      </c>
      <c r="AA41" s="30">
        <f>SUMIF($L$4:$Z$4,"SUBTOTAL",$L$41:$Z$41)</f>
        <v>25.139708092543412</v>
      </c>
    </row>
    <row r="43" spans="1:27" ht="11.25" customHeight="1" x14ac:dyDescent="0.3">
      <c r="K43" s="37" t="s">
        <v>469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864196.38677906524</v>
      </c>
      <c r="R43" s="30">
        <f t="shared" si="0"/>
        <v>864196.38677906524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864196.38677906524</v>
      </c>
    </row>
    <row r="44" spans="1:27" ht="11.25" customHeight="1" x14ac:dyDescent="0.3">
      <c r="K44" s="37" t="s">
        <v>388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3637685.8018519101</v>
      </c>
      <c r="R44" s="30">
        <f>CUSTOS!$D$36</f>
        <v>3637685.8018519101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3637685.8018519101</v>
      </c>
    </row>
    <row r="45" spans="1:27" ht="11.25" customHeight="1" x14ac:dyDescent="0.3">
      <c r="K45" s="37" t="s">
        <v>389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864196.38677906559</v>
      </c>
      <c r="R45" s="30">
        <f>CUSTOS!$E$36</f>
        <v>864196.38677906559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0</v>
      </c>
      <c r="X45" s="30">
        <f>CUSTOS!$E$42</f>
        <v>0</v>
      </c>
      <c r="Y45" s="30">
        <f>CUSTOS!$E$43</f>
        <v>0</v>
      </c>
      <c r="Z45" s="30">
        <f>CUSTOS!$E$44</f>
        <v>0</v>
      </c>
      <c r="AA45" s="30">
        <f>CUSTOS!$E$45</f>
        <v>864196.38677906559</v>
      </c>
    </row>
    <row r="46" spans="1:27" ht="11.25" customHeight="1" x14ac:dyDescent="0.3">
      <c r="K46" s="37" t="s">
        <v>390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3">
      <c r="K47" s="37" t="s">
        <v>470</v>
      </c>
      <c r="L47" s="30">
        <f>'TR TE'!$L$47*L48</f>
        <v>0</v>
      </c>
      <c r="M47" s="30">
        <f>'TR TE'!$M$47*M48</f>
        <v>0</v>
      </c>
      <c r="N47" s="30">
        <f>'TR TE'!$N$47*N48</f>
        <v>0</v>
      </c>
      <c r="O47" s="30">
        <f>'TR TE'!$O$47*O48</f>
        <v>0</v>
      </c>
      <c r="P47" s="30"/>
      <c r="Q47" s="30">
        <f>'TR TE'!$Q$47*Q48</f>
        <v>0</v>
      </c>
      <c r="R47" s="30"/>
      <c r="S47" s="30">
        <f>'TR TE'!$S$47*S48</f>
        <v>0</v>
      </c>
      <c r="T47" s="30">
        <f>'TR TE'!$T$47*T48</f>
        <v>0</v>
      </c>
      <c r="U47" s="30">
        <f>'TR TE'!$U$47*U48</f>
        <v>0</v>
      </c>
      <c r="V47" s="30"/>
      <c r="W47" s="30"/>
      <c r="X47" s="30"/>
      <c r="Y47" s="30">
        <f>'TR TE'!$Y$47*Y48</f>
        <v>0</v>
      </c>
      <c r="Z47" s="30"/>
      <c r="AA47" s="30"/>
    </row>
    <row r="48" spans="1:27" ht="11.25" customHeight="1" x14ac:dyDescent="0.3">
      <c r="K48" s="37" t="s">
        <v>465</v>
      </c>
      <c r="L48" s="30">
        <f>IF(L44&lt;&gt;0,L46/L44,0)</f>
        <v>0</v>
      </c>
      <c r="M48" s="30">
        <f>IF(M44&lt;&gt;0,M46/M44,0)</f>
        <v>0</v>
      </c>
      <c r="N48" s="30">
        <f>IF(N44&lt;&gt;0,N46/N44,0)</f>
        <v>0</v>
      </c>
      <c r="O48" s="30">
        <f>IF(O44&lt;&gt;0,O46/O44,0)</f>
        <v>0</v>
      </c>
      <c r="P48" s="30"/>
      <c r="Q48" s="30">
        <f>IF(Q44&lt;&gt;0,Q46/Q44,0)</f>
        <v>0</v>
      </c>
      <c r="R48" s="30"/>
      <c r="S48" s="30">
        <f>IF(S44&lt;&gt;0,S46/S44,0)</f>
        <v>0</v>
      </c>
      <c r="T48" s="30">
        <f>IF(T44&lt;&gt;0,T46/T44,0)</f>
        <v>0</v>
      </c>
      <c r="U48" s="30">
        <f>IF(U44&lt;&gt;0,U46/U44,0)</f>
        <v>0</v>
      </c>
      <c r="V48" s="30"/>
      <c r="W48" s="30">
        <f>IF($AA44&lt;&gt;0,W46/($AA44-SUM('TR TE'!$L47:'TR TE'!$Z47)*0),0)</f>
        <v>0</v>
      </c>
      <c r="X48" s="30"/>
      <c r="Y48" s="30">
        <f>IF(Y44&lt;&gt;0,Y46/Y44,0)</f>
        <v>0</v>
      </c>
      <c r="Z48" s="30"/>
      <c r="AA48" s="30"/>
    </row>
    <row r="49" spans="11:27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3">
    <cfRule type="cellIs" dxfId="597" priority="31" operator="notEqual">
      <formula>$L$45</formula>
    </cfRule>
    <cfRule type="cellIs" dxfId="596" priority="32" operator="equal">
      <formula>$L$45</formula>
    </cfRule>
  </conditionalFormatting>
  <conditionalFormatting sqref="M43">
    <cfRule type="cellIs" dxfId="595" priority="29" operator="notEqual">
      <formula>$M$45</formula>
    </cfRule>
    <cfRule type="cellIs" dxfId="594" priority="30" operator="equal">
      <formula>$M$45</formula>
    </cfRule>
  </conditionalFormatting>
  <conditionalFormatting sqref="N43">
    <cfRule type="cellIs" dxfId="593" priority="27" operator="notEqual">
      <formula>$N$45</formula>
    </cfRule>
    <cfRule type="cellIs" dxfId="592" priority="28" operator="equal">
      <formula>$N$45</formula>
    </cfRule>
  </conditionalFormatting>
  <conditionalFormatting sqref="O43">
    <cfRule type="cellIs" dxfId="591" priority="25" operator="notEqual">
      <formula>$O$45</formula>
    </cfRule>
    <cfRule type="cellIs" dxfId="590" priority="26" operator="equal">
      <formula>$O$45</formula>
    </cfRule>
  </conditionalFormatting>
  <conditionalFormatting sqref="P43">
    <cfRule type="cellIs" dxfId="589" priority="23" operator="notEqual">
      <formula>$P$45</formula>
    </cfRule>
    <cfRule type="cellIs" dxfId="588" priority="24" operator="equal">
      <formula>$P$45</formula>
    </cfRule>
  </conditionalFormatting>
  <conditionalFormatting sqref="Q43">
    <cfRule type="cellIs" dxfId="587" priority="21" operator="notEqual">
      <formula>$Q$45</formula>
    </cfRule>
    <cfRule type="cellIs" dxfId="586" priority="22" operator="equal">
      <formula>$Q$45</formula>
    </cfRule>
  </conditionalFormatting>
  <conditionalFormatting sqref="R43">
    <cfRule type="cellIs" dxfId="585" priority="19" operator="notEqual">
      <formula>$R$45</formula>
    </cfRule>
    <cfRule type="cellIs" dxfId="584" priority="20" operator="equal">
      <formula>$R$45</formula>
    </cfRule>
  </conditionalFormatting>
  <conditionalFormatting sqref="S43">
    <cfRule type="cellIs" dxfId="583" priority="17" operator="notEqual">
      <formula>$S$45</formula>
    </cfRule>
    <cfRule type="cellIs" dxfId="582" priority="18" operator="equal">
      <formula>$S$45</formula>
    </cfRule>
  </conditionalFormatting>
  <conditionalFormatting sqref="T43">
    <cfRule type="cellIs" dxfId="581" priority="15" operator="notEqual">
      <formula>$T$45</formula>
    </cfRule>
    <cfRule type="cellIs" dxfId="580" priority="16" operator="equal">
      <formula>$T$45</formula>
    </cfRule>
  </conditionalFormatting>
  <conditionalFormatting sqref="U43">
    <cfRule type="cellIs" dxfId="579" priority="13" operator="notEqual">
      <formula>$U$45</formula>
    </cfRule>
    <cfRule type="cellIs" dxfId="578" priority="14" operator="equal">
      <formula>$U$45</formula>
    </cfRule>
  </conditionalFormatting>
  <conditionalFormatting sqref="V43">
    <cfRule type="cellIs" dxfId="577" priority="11" operator="notEqual">
      <formula>$V$45</formula>
    </cfRule>
    <cfRule type="cellIs" dxfId="576" priority="12" operator="equal">
      <formula>$V$45</formula>
    </cfRule>
  </conditionalFormatting>
  <conditionalFormatting sqref="W43">
    <cfRule type="cellIs" dxfId="575" priority="9" operator="notEqual">
      <formula>$W$45</formula>
    </cfRule>
    <cfRule type="cellIs" dxfId="574" priority="10" operator="equal">
      <formula>$W$45</formula>
    </cfRule>
  </conditionalFormatting>
  <conditionalFormatting sqref="X43">
    <cfRule type="cellIs" dxfId="573" priority="7" operator="notEqual">
      <formula>$X$45</formula>
    </cfRule>
    <cfRule type="cellIs" dxfId="572" priority="8" operator="equal">
      <formula>$X$45</formula>
    </cfRule>
  </conditionalFormatting>
  <conditionalFormatting sqref="Y43">
    <cfRule type="cellIs" dxfId="571" priority="5" operator="notEqual">
      <formula>$Y$45</formula>
    </cfRule>
    <cfRule type="cellIs" dxfId="570" priority="6" operator="equal">
      <formula>$Y$45</formula>
    </cfRule>
  </conditionalFormatting>
  <conditionalFormatting sqref="Z43">
    <cfRule type="cellIs" dxfId="569" priority="3" operator="notEqual">
      <formula>$Z$45</formula>
    </cfRule>
    <cfRule type="cellIs" dxfId="568" priority="4" operator="equal">
      <formula>$Z$45</formula>
    </cfRule>
  </conditionalFormatting>
  <conditionalFormatting sqref="AA43">
    <cfRule type="cellIs" dxfId="567" priority="1" operator="notEqual">
      <formula>$AA$45</formula>
    </cfRule>
    <cfRule type="cellIs" dxfId="566" priority="2" operator="equal">
      <formula>$AA$45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AE05-7463-47C0-9473-010A29A2401A}">
  <dimension ref="A1:AA49"/>
  <sheetViews>
    <sheetView showGridLines="0" topLeftCell="I28" workbookViewId="0">
      <selection activeCell="AA43" sqref="AA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14.33203125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57</v>
      </c>
      <c r="B1" s="130" t="s">
        <v>58</v>
      </c>
      <c r="C1" s="130" t="s">
        <v>59</v>
      </c>
      <c r="D1" s="130" t="s">
        <v>60</v>
      </c>
      <c r="E1" s="130" t="s">
        <v>61</v>
      </c>
      <c r="F1" s="130" t="s">
        <v>15</v>
      </c>
      <c r="G1" s="130" t="s">
        <v>63</v>
      </c>
      <c r="H1" s="130" t="s">
        <v>64</v>
      </c>
      <c r="I1" s="130" t="s">
        <v>447</v>
      </c>
      <c r="J1" s="115"/>
      <c r="L1" s="131" t="s">
        <v>475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5"/>
      <c r="L2" s="131" t="s">
        <v>375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5"/>
      <c r="L3" s="131" t="s">
        <v>348</v>
      </c>
      <c r="M3" s="131"/>
      <c r="N3" s="131"/>
      <c r="O3" s="131"/>
      <c r="P3" s="131"/>
      <c r="Q3" s="131" t="s">
        <v>378</v>
      </c>
      <c r="R3" s="131"/>
      <c r="S3" s="131" t="s">
        <v>357</v>
      </c>
      <c r="T3" s="131"/>
      <c r="U3" s="131"/>
      <c r="V3" s="131"/>
      <c r="W3" s="131" t="s">
        <v>367</v>
      </c>
      <c r="X3" s="131"/>
      <c r="Y3" s="131" t="s">
        <v>370</v>
      </c>
      <c r="Z3" s="131"/>
      <c r="AA3" s="131" t="s">
        <v>356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5"/>
      <c r="L4" s="36" t="s">
        <v>350</v>
      </c>
      <c r="M4" s="36" t="s">
        <v>376</v>
      </c>
      <c r="N4" s="36" t="s">
        <v>377</v>
      </c>
      <c r="O4" s="36" t="s">
        <v>435</v>
      </c>
      <c r="P4" s="36" t="s">
        <v>356</v>
      </c>
      <c r="Q4" s="36" t="s">
        <v>379</v>
      </c>
      <c r="R4" s="36" t="s">
        <v>356</v>
      </c>
      <c r="S4" s="36" t="s">
        <v>380</v>
      </c>
      <c r="T4" s="36" t="s">
        <v>381</v>
      </c>
      <c r="U4" s="36" t="s">
        <v>382</v>
      </c>
      <c r="V4" s="36" t="s">
        <v>356</v>
      </c>
      <c r="W4" s="36" t="s">
        <v>368</v>
      </c>
      <c r="X4" s="36" t="s">
        <v>356</v>
      </c>
      <c r="Y4" s="36" t="s">
        <v>383</v>
      </c>
      <c r="Z4" s="36" t="s">
        <v>356</v>
      </c>
      <c r="AA4" s="132"/>
    </row>
    <row r="5" spans="1:27" ht="11.25" customHeight="1" x14ac:dyDescent="0.3">
      <c r="A5" s="129" t="s">
        <v>36</v>
      </c>
      <c r="B5" s="129" t="s">
        <v>66</v>
      </c>
      <c r="C5" s="129" t="s">
        <v>25</v>
      </c>
      <c r="D5" s="129" t="s">
        <v>25</v>
      </c>
      <c r="E5" s="129" t="s">
        <v>25</v>
      </c>
      <c r="F5" s="129" t="s">
        <v>25</v>
      </c>
      <c r="G5" s="32" t="s">
        <v>68</v>
      </c>
      <c r="H5" s="32" t="s">
        <v>67</v>
      </c>
      <c r="I5" s="32">
        <f>'MERCADO TE'!$U$2</f>
        <v>149.95200000000003</v>
      </c>
      <c r="J5" s="17"/>
      <c r="L5" s="30">
        <f>'TE BE'!$L$5*'TE BF'!$L$48</f>
        <v>0</v>
      </c>
      <c r="M5" s="30">
        <f>'TE BE'!$M$5*'TE BF'!$M$48</f>
        <v>0</v>
      </c>
      <c r="N5" s="30">
        <f>'TE BE'!$N$5*'TE BF'!$N$48</f>
        <v>0</v>
      </c>
      <c r="O5" s="30">
        <f>'TE BE'!$O$5*'TE BF'!$O$48</f>
        <v>0</v>
      </c>
      <c r="P5" s="30">
        <f>SUM($L$5:$O$5)</f>
        <v>0</v>
      </c>
      <c r="Q5" s="30">
        <f>'TE BE'!$Q$5*'TE BF'!$Q$48</f>
        <v>0</v>
      </c>
      <c r="R5" s="30">
        <f>SUM($Q$5:$Q$5)</f>
        <v>0</v>
      </c>
      <c r="S5" s="30">
        <f>'TE BE'!$S$5*'TE BF'!$S$48</f>
        <v>0</v>
      </c>
      <c r="T5" s="30">
        <f>'TE BE'!$T$5*'TE BF'!$T$48</f>
        <v>0</v>
      </c>
      <c r="U5" s="30">
        <f>'TE BE'!$U$5*'TE BF'!$U$48</f>
        <v>0</v>
      </c>
      <c r="V5" s="30">
        <f>SUM($S$5:$U$5)</f>
        <v>0</v>
      </c>
      <c r="W5" s="30">
        <f>'TE BE'!$AA$5*'TE BF'!$W$48</f>
        <v>0</v>
      </c>
      <c r="X5" s="30">
        <f>SUM($W$5:$W$5)</f>
        <v>0</v>
      </c>
      <c r="Y5" s="30">
        <f>'TE BE'!$Y$5*'TE BF'!$Y$48</f>
        <v>0</v>
      </c>
      <c r="Z5" s="30">
        <f>SUM($Y$5:$Y$5)</f>
        <v>0</v>
      </c>
      <c r="AA5" s="30">
        <f>SUMIF($L$4:$Z$4,"SUBTOTAL",$L$5:$Z$5)</f>
        <v>0</v>
      </c>
    </row>
    <row r="6" spans="1:27" ht="11.25" customHeight="1" x14ac:dyDescent="0.3">
      <c r="A6" s="129"/>
      <c r="B6" s="129"/>
      <c r="C6" s="129"/>
      <c r="D6" s="129"/>
      <c r="E6" s="129"/>
      <c r="F6" s="129"/>
      <c r="G6" s="32" t="s">
        <v>69</v>
      </c>
      <c r="H6" s="32" t="s">
        <v>67</v>
      </c>
      <c r="I6" s="32">
        <f>'MERCADO TE'!$U$3</f>
        <v>2536.7999999999997</v>
      </c>
      <c r="J6" s="17"/>
      <c r="L6" s="30">
        <f>'TE BE'!$L$6*'TE BF'!$L$48</f>
        <v>0</v>
      </c>
      <c r="M6" s="30">
        <f>'TE BE'!$M$6*'TE BF'!$M$48</f>
        <v>0</v>
      </c>
      <c r="N6" s="30">
        <f>'TE BE'!$N$6*'TE BF'!$N$48</f>
        <v>0</v>
      </c>
      <c r="O6" s="30">
        <f>'TE BE'!$O$6*'TE BF'!$O$48</f>
        <v>0</v>
      </c>
      <c r="P6" s="30">
        <f>SUM($L$6:$O$6)</f>
        <v>0</v>
      </c>
      <c r="Q6" s="30">
        <f>'TE BE'!$Q$6*'TE BF'!$Q$48</f>
        <v>0</v>
      </c>
      <c r="R6" s="30">
        <f>SUM($Q$6:$Q$6)</f>
        <v>0</v>
      </c>
      <c r="S6" s="30">
        <f>'TE BE'!$S$6*'TE BF'!$S$48</f>
        <v>0</v>
      </c>
      <c r="T6" s="30">
        <f>'TE BE'!$T$6*'TE BF'!$T$48</f>
        <v>0</v>
      </c>
      <c r="U6" s="30">
        <f>'TE BE'!$U$6*'TE BF'!$U$48</f>
        <v>0</v>
      </c>
      <c r="V6" s="30">
        <f>SUM($S$6:$U$6)</f>
        <v>0</v>
      </c>
      <c r="W6" s="30">
        <f>'TE BE'!$AA$6*'TE BF'!$W$48</f>
        <v>0</v>
      </c>
      <c r="X6" s="30">
        <f>SUM($W$6:$W$6)</f>
        <v>0</v>
      </c>
      <c r="Y6" s="30">
        <f>'TE BE'!$Y$6*'TE BF'!$Y$48</f>
        <v>0</v>
      </c>
      <c r="Z6" s="30">
        <f>SUM($Y$6:$Y$6)</f>
        <v>0</v>
      </c>
      <c r="AA6" s="30">
        <f>SUMIF($L$4:$Z$4,"SUBTOTAL",$L$6:$Z$6)</f>
        <v>0</v>
      </c>
    </row>
    <row r="7" spans="1:27" ht="11.25" customHeight="1" x14ac:dyDescent="0.3">
      <c r="A7" s="129" t="s">
        <v>22</v>
      </c>
      <c r="B7" s="129" t="s">
        <v>66</v>
      </c>
      <c r="C7" s="129" t="s">
        <v>24</v>
      </c>
      <c r="D7" s="129" t="s">
        <v>24</v>
      </c>
      <c r="E7" s="129" t="s">
        <v>25</v>
      </c>
      <c r="F7" s="129" t="s">
        <v>25</v>
      </c>
      <c r="G7" s="32" t="s">
        <v>68</v>
      </c>
      <c r="H7" s="32" t="s">
        <v>67</v>
      </c>
      <c r="I7" s="32">
        <f>'MERCADO TE'!$U$4</f>
        <v>0</v>
      </c>
      <c r="J7" s="17"/>
      <c r="L7" s="30">
        <f>'TE BE'!$L$7*'TE BF'!$L$48</f>
        <v>0</v>
      </c>
      <c r="M7" s="30">
        <f>'TE BE'!$M$7*'TE BF'!$M$48</f>
        <v>0</v>
      </c>
      <c r="N7" s="30">
        <f>'TE BE'!$N$7*'TE BF'!$N$48</f>
        <v>0</v>
      </c>
      <c r="O7" s="30">
        <f>'TE BE'!$O$7*'TE BF'!$O$48</f>
        <v>0</v>
      </c>
      <c r="P7" s="30">
        <f>SUM($L$7:$O$7)</f>
        <v>0</v>
      </c>
      <c r="Q7" s="30">
        <f>'TE BE'!$Q$7*'TE BF'!$Q$48</f>
        <v>0</v>
      </c>
      <c r="R7" s="30">
        <f>SUM($Q$7:$Q$7)</f>
        <v>0</v>
      </c>
      <c r="S7" s="30">
        <f>'TE BE'!$S$7*'TE BF'!$S$48</f>
        <v>0</v>
      </c>
      <c r="T7" s="30">
        <f>'TE BE'!$T$7*'TE BF'!$T$48</f>
        <v>0</v>
      </c>
      <c r="U7" s="30">
        <f>'TE BE'!$U$7*'TE BF'!$U$48</f>
        <v>0</v>
      </c>
      <c r="V7" s="30">
        <f>SUM($S$7:$U$7)</f>
        <v>0</v>
      </c>
      <c r="W7" s="30">
        <f>'TE BE'!$AA$7*'TE BF'!$W$48</f>
        <v>0</v>
      </c>
      <c r="X7" s="30">
        <f>SUM($W$7:$W$7)</f>
        <v>0</v>
      </c>
      <c r="Y7" s="30">
        <f>'TE BE'!$Y$7*'TE BF'!$Y$48</f>
        <v>0</v>
      </c>
      <c r="Z7" s="30">
        <f>SUM($Y$7:$Y$7)</f>
        <v>0</v>
      </c>
      <c r="AA7" s="30">
        <f>SUMIF($L$4:$Z$4,"SUBTOTAL",$L$7:$Z$7)</f>
        <v>0</v>
      </c>
    </row>
    <row r="8" spans="1:27" ht="11.25" customHeight="1" x14ac:dyDescent="0.3">
      <c r="A8" s="129"/>
      <c r="B8" s="129"/>
      <c r="C8" s="129"/>
      <c r="D8" s="129"/>
      <c r="E8" s="129"/>
      <c r="F8" s="129"/>
      <c r="G8" s="32" t="s">
        <v>80</v>
      </c>
      <c r="H8" s="32" t="s">
        <v>67</v>
      </c>
      <c r="I8" s="32">
        <f>'MERCADO TE'!$U$5</f>
        <v>0</v>
      </c>
      <c r="J8" s="17"/>
      <c r="L8" s="30">
        <f>'TE BE'!$L$8*'TE BF'!$L$48</f>
        <v>0</v>
      </c>
      <c r="M8" s="30">
        <f>'TE BE'!$M$8*'TE BF'!$M$48</f>
        <v>0</v>
      </c>
      <c r="N8" s="30">
        <f>'TE BE'!$N$8*'TE BF'!$N$48</f>
        <v>0</v>
      </c>
      <c r="O8" s="30">
        <f>'TE BE'!$O$8*'TE BF'!$O$48</f>
        <v>0</v>
      </c>
      <c r="P8" s="30">
        <f>SUM($L$8:$O$8)</f>
        <v>0</v>
      </c>
      <c r="Q8" s="30">
        <f>'TE BE'!$Q$8*'TE BF'!$Q$48</f>
        <v>0</v>
      </c>
      <c r="R8" s="30">
        <f>SUM($Q$8:$Q$8)</f>
        <v>0</v>
      </c>
      <c r="S8" s="30">
        <f>'TE BE'!$S$8*'TE BF'!$S$48</f>
        <v>0</v>
      </c>
      <c r="T8" s="30">
        <f>'TE BE'!$T$8*'TE BF'!$T$48</f>
        <v>0</v>
      </c>
      <c r="U8" s="30">
        <f>'TE BE'!$U$8*'TE BF'!$U$48</f>
        <v>0</v>
      </c>
      <c r="V8" s="30">
        <f>SUM($S$8:$U$8)</f>
        <v>0</v>
      </c>
      <c r="W8" s="30">
        <f>'TE BE'!$AA$8*'TE BF'!$W$48</f>
        <v>0</v>
      </c>
      <c r="X8" s="30">
        <f>SUM($W$8:$W$8)</f>
        <v>0</v>
      </c>
      <c r="Y8" s="30">
        <f>'TE BE'!$Y$8*'TE BF'!$Y$48</f>
        <v>0</v>
      </c>
      <c r="Z8" s="30">
        <f>SUM($Y$8:$Y$8)</f>
        <v>0</v>
      </c>
      <c r="AA8" s="30">
        <f>SUMIF($L$4:$Z$4,"SUBTOTAL",$L$8:$Z$8)</f>
        <v>0</v>
      </c>
    </row>
    <row r="9" spans="1:27" ht="11.25" customHeight="1" x14ac:dyDescent="0.3">
      <c r="A9" s="129"/>
      <c r="B9" s="129"/>
      <c r="C9" s="129"/>
      <c r="D9" s="129"/>
      <c r="E9" s="129"/>
      <c r="F9" s="129"/>
      <c r="G9" s="32" t="s">
        <v>69</v>
      </c>
      <c r="H9" s="32" t="s">
        <v>67</v>
      </c>
      <c r="I9" s="32">
        <f>'MERCADO TE'!$U$6</f>
        <v>0</v>
      </c>
      <c r="J9" s="17"/>
      <c r="L9" s="30">
        <f>'TE BE'!$L$9*'TE BF'!$L$48</f>
        <v>0</v>
      </c>
      <c r="M9" s="30">
        <f>'TE BE'!$M$9*'TE BF'!$M$48</f>
        <v>0</v>
      </c>
      <c r="N9" s="30">
        <f>'TE BE'!$N$9*'TE BF'!$N$48</f>
        <v>0</v>
      </c>
      <c r="O9" s="30">
        <f>'TE BE'!$O$9*'TE BF'!$O$48</f>
        <v>0</v>
      </c>
      <c r="P9" s="30">
        <f>SUM($L$9:$O$9)</f>
        <v>0</v>
      </c>
      <c r="Q9" s="30">
        <f>'TE BE'!$Q$9*'TE BF'!$Q$48</f>
        <v>0</v>
      </c>
      <c r="R9" s="30">
        <f>SUM($Q$9:$Q$9)</f>
        <v>0</v>
      </c>
      <c r="S9" s="30">
        <f>'TE BE'!$S$9*'TE BF'!$S$48</f>
        <v>0</v>
      </c>
      <c r="T9" s="30">
        <f>'TE BE'!$T$9*'TE BF'!$T$48</f>
        <v>0</v>
      </c>
      <c r="U9" s="30">
        <f>'TE BE'!$U$9*'TE BF'!$U$48</f>
        <v>0</v>
      </c>
      <c r="V9" s="30">
        <f>SUM($S$9:$U$9)</f>
        <v>0</v>
      </c>
      <c r="W9" s="30">
        <f>'TE BE'!$AA$9*'TE BF'!$W$48</f>
        <v>0</v>
      </c>
      <c r="X9" s="30">
        <f>SUM($W$9:$W$9)</f>
        <v>0</v>
      </c>
      <c r="Y9" s="30">
        <f>'TE BE'!$Y$9*'TE BF'!$Y$48</f>
        <v>0</v>
      </c>
      <c r="Z9" s="30">
        <f>SUM($Y$9:$Y$9)</f>
        <v>0</v>
      </c>
      <c r="AA9" s="30">
        <f>SUMIF($L$4:$Z$4,"SUBTOTAL",$L$9:$Z$9)</f>
        <v>0</v>
      </c>
    </row>
    <row r="10" spans="1:27" ht="11.25" customHeight="1" x14ac:dyDescent="0.3">
      <c r="A10" s="129"/>
      <c r="B10" s="129" t="s">
        <v>81</v>
      </c>
      <c r="C10" s="129" t="s">
        <v>24</v>
      </c>
      <c r="D10" s="38" t="s">
        <v>24</v>
      </c>
      <c r="E10" s="38" t="s">
        <v>25</v>
      </c>
      <c r="F10" s="38" t="s">
        <v>25</v>
      </c>
      <c r="G10" s="32" t="s">
        <v>74</v>
      </c>
      <c r="H10" s="32" t="s">
        <v>67</v>
      </c>
      <c r="I10" s="32">
        <f>'MERCADO TE'!$U$7</f>
        <v>8666.1360000000022</v>
      </c>
      <c r="J10" s="17"/>
      <c r="L10" s="30">
        <f>'TE BE'!$L$10*'TE BF'!$L$48</f>
        <v>0</v>
      </c>
      <c r="M10" s="30">
        <f>'TE BE'!$M$10*'TE BF'!$M$48</f>
        <v>0</v>
      </c>
      <c r="N10" s="30">
        <f>'TE BE'!$N$10*'TE BF'!$N$48</f>
        <v>0</v>
      </c>
      <c r="O10" s="30">
        <f>'TE BE'!$O$10*'TE BF'!$O$48</f>
        <v>0</v>
      </c>
      <c r="P10" s="30">
        <f>SUM($L$10:$O$10)</f>
        <v>0</v>
      </c>
      <c r="Q10" s="30">
        <f>'TE BE'!$Q$10*'TE BF'!$Q$48</f>
        <v>0</v>
      </c>
      <c r="R10" s="30">
        <f>SUM($Q$10:$Q$10)</f>
        <v>0</v>
      </c>
      <c r="S10" s="30">
        <f>'TE BE'!$S$10*'TE BF'!$S$48</f>
        <v>0</v>
      </c>
      <c r="T10" s="30">
        <f>'TE BE'!$T$10*'TE BF'!$T$48</f>
        <v>0</v>
      </c>
      <c r="U10" s="30">
        <f>'TE BE'!$U$10*'TE BF'!$U$48</f>
        <v>0</v>
      </c>
      <c r="V10" s="30">
        <f>SUM($S$10:$U$10)</f>
        <v>0</v>
      </c>
      <c r="W10" s="30">
        <f>'TE BE'!$AA$10*'TE BF'!$W$48</f>
        <v>0</v>
      </c>
      <c r="X10" s="30">
        <f>SUM($W$10:$W$10)</f>
        <v>0</v>
      </c>
      <c r="Y10" s="30">
        <f>'TE BE'!$Y$10*'TE BF'!$Y$48</f>
        <v>0</v>
      </c>
      <c r="Z10" s="30">
        <f>SUM($Y$10:$Y$10)</f>
        <v>0</v>
      </c>
      <c r="AA10" s="30">
        <f>SUMIF($L$4:$Z$4,"SUBTOTAL",$L$10:$Z$10)</f>
        <v>0</v>
      </c>
    </row>
    <row r="11" spans="1:27" ht="11.25" customHeight="1" x14ac:dyDescent="0.3">
      <c r="A11" s="129"/>
      <c r="B11" s="129"/>
      <c r="C11" s="129"/>
      <c r="D11" s="38" t="s">
        <v>29</v>
      </c>
      <c r="E11" s="38" t="s">
        <v>25</v>
      </c>
      <c r="F11" s="38" t="s">
        <v>25</v>
      </c>
      <c r="G11" s="32" t="s">
        <v>74</v>
      </c>
      <c r="H11" s="32" t="s">
        <v>67</v>
      </c>
      <c r="I11" s="32">
        <f>'MERCADO TE'!$U$8</f>
        <v>34.769999999999996</v>
      </c>
      <c r="J11" s="17"/>
      <c r="L11" s="30">
        <f>'TE BE'!$L$11*'TE BF'!$L$48</f>
        <v>0</v>
      </c>
      <c r="M11" s="30">
        <f>'TE BE'!$M$11*'TE BF'!$M$48</f>
        <v>0</v>
      </c>
      <c r="N11" s="30">
        <f>'TE BE'!$N$11*'TE BF'!$N$48</f>
        <v>0</v>
      </c>
      <c r="O11" s="30">
        <f>'TE BE'!$O$11*'TE BF'!$O$48</f>
        <v>0</v>
      </c>
      <c r="P11" s="30">
        <f>SUM($L$11:$O$11)</f>
        <v>0</v>
      </c>
      <c r="Q11" s="30">
        <f>'TE BE'!$Q$11*'TE BF'!$Q$48</f>
        <v>0</v>
      </c>
      <c r="R11" s="30">
        <f>SUM($Q$11:$Q$11)</f>
        <v>0</v>
      </c>
      <c r="S11" s="30">
        <f>'TE BE'!$S$11*'TE BF'!$S$48</f>
        <v>0</v>
      </c>
      <c r="T11" s="30">
        <f>'TE BE'!$T$11*'TE BF'!$T$48</f>
        <v>0</v>
      </c>
      <c r="U11" s="30">
        <f>'TE BE'!$U$11*'TE BF'!$U$48</f>
        <v>0</v>
      </c>
      <c r="V11" s="30">
        <f>SUM($S$11:$U$11)</f>
        <v>0</v>
      </c>
      <c r="W11" s="30">
        <f>'TE BE'!$AA$11*'TE BF'!$W$48</f>
        <v>0</v>
      </c>
      <c r="X11" s="30">
        <f>SUM($W$11:$W$11)</f>
        <v>0</v>
      </c>
      <c r="Y11" s="30">
        <f>'TE BE'!$Y$11*'TE BF'!$Y$48</f>
        <v>0</v>
      </c>
      <c r="Z11" s="30">
        <f>SUM($Y$11:$Y$11)</f>
        <v>0</v>
      </c>
      <c r="AA11" s="30">
        <f>SUMIF($L$4:$Z$4,"SUBTOTAL",$L$11:$Z$11)</f>
        <v>0</v>
      </c>
    </row>
    <row r="12" spans="1:27" ht="11.25" customHeight="1" x14ac:dyDescent="0.3">
      <c r="A12" s="129"/>
      <c r="B12" s="129"/>
      <c r="C12" s="129"/>
      <c r="D12" s="38" t="s">
        <v>30</v>
      </c>
      <c r="E12" s="38" t="s">
        <v>25</v>
      </c>
      <c r="F12" s="38" t="s">
        <v>25</v>
      </c>
      <c r="G12" s="32" t="s">
        <v>74</v>
      </c>
      <c r="H12" s="32" t="s">
        <v>67</v>
      </c>
      <c r="I12" s="32">
        <f>'MERCADO TE'!$U$9</f>
        <v>75.075000000000003</v>
      </c>
      <c r="J12" s="17"/>
      <c r="L12" s="30">
        <f>'TE BE'!$L$12*'TE BF'!$L$48</f>
        <v>0</v>
      </c>
      <c r="M12" s="30">
        <f>'TE BE'!$M$12*'TE BF'!$M$48</f>
        <v>0</v>
      </c>
      <c r="N12" s="30">
        <f>'TE BE'!$N$12*'TE BF'!$N$48</f>
        <v>0</v>
      </c>
      <c r="O12" s="30">
        <f>'TE BE'!$O$12*'TE BF'!$O$48</f>
        <v>0</v>
      </c>
      <c r="P12" s="30">
        <f>SUM($L$12:$O$12)</f>
        <v>0</v>
      </c>
      <c r="Q12" s="30">
        <f>'TE BE'!$Q$12*'TE BF'!$Q$48</f>
        <v>0</v>
      </c>
      <c r="R12" s="30">
        <f>SUM($Q$12:$Q$12)</f>
        <v>0</v>
      </c>
      <c r="S12" s="30">
        <f>'TE BE'!$S$12*'TE BF'!$S$48</f>
        <v>0</v>
      </c>
      <c r="T12" s="30">
        <f>'TE BE'!$T$12*'TE BF'!$T$48</f>
        <v>0</v>
      </c>
      <c r="U12" s="30">
        <f>'TE BE'!$U$12*'TE BF'!$U$48</f>
        <v>0</v>
      </c>
      <c r="V12" s="30">
        <f>SUM($S$12:$U$12)</f>
        <v>0</v>
      </c>
      <c r="W12" s="30">
        <f>'TE BE'!$AA$12*'TE BF'!$W$48</f>
        <v>0</v>
      </c>
      <c r="X12" s="30">
        <f>SUM($W$12:$W$12)</f>
        <v>0</v>
      </c>
      <c r="Y12" s="30">
        <f>'TE BE'!$Y$12*'TE BF'!$Y$48</f>
        <v>0</v>
      </c>
      <c r="Z12" s="30">
        <f>SUM($Y$12:$Y$12)</f>
        <v>0</v>
      </c>
      <c r="AA12" s="30">
        <f>SUMIF($L$4:$Z$4,"SUBTOTAL",$L$12:$Z$12)</f>
        <v>0</v>
      </c>
    </row>
    <row r="13" spans="1:27" ht="11.25" customHeight="1" x14ac:dyDescent="0.3">
      <c r="A13" s="129"/>
      <c r="B13" s="129"/>
      <c r="C13" s="129"/>
      <c r="D13" s="38" t="s">
        <v>31</v>
      </c>
      <c r="E13" s="38" t="s">
        <v>25</v>
      </c>
      <c r="F13" s="38" t="s">
        <v>25</v>
      </c>
      <c r="G13" s="32" t="s">
        <v>74</v>
      </c>
      <c r="H13" s="32" t="s">
        <v>67</v>
      </c>
      <c r="I13" s="32">
        <f>'MERCADO TE'!$U$10</f>
        <v>64.762</v>
      </c>
      <c r="J13" s="17"/>
      <c r="L13" s="30">
        <f>'TE BE'!$L$13*'TE BF'!$L$48</f>
        <v>0</v>
      </c>
      <c r="M13" s="30">
        <f>'TE BE'!$M$13*'TE BF'!$M$48</f>
        <v>0</v>
      </c>
      <c r="N13" s="30">
        <f>'TE BE'!$N$13*'TE BF'!$N$48</f>
        <v>0</v>
      </c>
      <c r="O13" s="30">
        <f>'TE BE'!$O$13*'TE BF'!$O$48</f>
        <v>0</v>
      </c>
      <c r="P13" s="30">
        <f>SUM($L$13:$O$13)</f>
        <v>0</v>
      </c>
      <c r="Q13" s="30">
        <f>'TE BE'!$Q$13*'TE BF'!$Q$48</f>
        <v>0</v>
      </c>
      <c r="R13" s="30">
        <f>SUM($Q$13:$Q$13)</f>
        <v>0</v>
      </c>
      <c r="S13" s="30">
        <f>'TE BE'!$S$13*'TE BF'!$S$48</f>
        <v>0</v>
      </c>
      <c r="T13" s="30">
        <f>'TE BE'!$T$13*'TE BF'!$T$48</f>
        <v>0</v>
      </c>
      <c r="U13" s="30">
        <f>'TE BE'!$U$13*'TE BF'!$U$48</f>
        <v>0</v>
      </c>
      <c r="V13" s="30">
        <f>SUM($S$13:$U$13)</f>
        <v>0</v>
      </c>
      <c r="W13" s="30">
        <f>'TE BE'!$AA$13*'TE BF'!$W$48</f>
        <v>0</v>
      </c>
      <c r="X13" s="30">
        <f>SUM($W$13:$W$13)</f>
        <v>0</v>
      </c>
      <c r="Y13" s="30">
        <f>'TE BE'!$Y$13*'TE BF'!$Y$48</f>
        <v>0</v>
      </c>
      <c r="Z13" s="30">
        <f>SUM($Y$13:$Y$13)</f>
        <v>0</v>
      </c>
      <c r="AA13" s="30">
        <f>SUMIF($L$4:$Z$4,"SUBTOTAL",$L$13:$Z$13)</f>
        <v>0</v>
      </c>
    </row>
    <row r="14" spans="1:27" ht="11.25" customHeight="1" x14ac:dyDescent="0.3">
      <c r="A14" s="129"/>
      <c r="B14" s="129"/>
      <c r="C14" s="129"/>
      <c r="D14" s="38" t="s">
        <v>32</v>
      </c>
      <c r="E14" s="38" t="s">
        <v>25</v>
      </c>
      <c r="F14" s="38" t="s">
        <v>25</v>
      </c>
      <c r="G14" s="32" t="s">
        <v>74</v>
      </c>
      <c r="H14" s="32" t="s">
        <v>67</v>
      </c>
      <c r="I14" s="32">
        <f>'MERCADO TE'!$U$11</f>
        <v>22.914000000000001</v>
      </c>
      <c r="J14" s="17"/>
      <c r="L14" s="30">
        <f>'TE BE'!$L$14*'TE BF'!$L$48</f>
        <v>0</v>
      </c>
      <c r="M14" s="30">
        <f>'TE BE'!$M$14*'TE BF'!$M$48</f>
        <v>0</v>
      </c>
      <c r="N14" s="30">
        <f>'TE BE'!$N$14*'TE BF'!$N$48</f>
        <v>0</v>
      </c>
      <c r="O14" s="30">
        <f>'TE BE'!$O$14*'TE BF'!$O$48</f>
        <v>0</v>
      </c>
      <c r="P14" s="30">
        <f>SUM($L$14:$O$14)</f>
        <v>0</v>
      </c>
      <c r="Q14" s="30">
        <f>'TE BE'!$Q$14*'TE BF'!$Q$48</f>
        <v>0</v>
      </c>
      <c r="R14" s="30">
        <f>SUM($Q$14:$Q$14)</f>
        <v>0</v>
      </c>
      <c r="S14" s="30">
        <f>'TE BE'!$S$14*'TE BF'!$S$48</f>
        <v>0</v>
      </c>
      <c r="T14" s="30">
        <f>'TE BE'!$T$14*'TE BF'!$T$48</f>
        <v>0</v>
      </c>
      <c r="U14" s="30">
        <f>'TE BE'!$U$14*'TE BF'!$U$48</f>
        <v>0</v>
      </c>
      <c r="V14" s="30">
        <f>SUM($S$14:$U$14)</f>
        <v>0</v>
      </c>
      <c r="W14" s="30">
        <f>'TE BE'!$AA$14*'TE BF'!$W$48</f>
        <v>0</v>
      </c>
      <c r="X14" s="30">
        <f>SUM($W$14:$W$14)</f>
        <v>0</v>
      </c>
      <c r="Y14" s="30">
        <f>'TE BE'!$Y$14*'TE BF'!$Y$48</f>
        <v>0</v>
      </c>
      <c r="Z14" s="30">
        <f>SUM($Y$14:$Y$14)</f>
        <v>0</v>
      </c>
      <c r="AA14" s="30">
        <f>SUMIF($L$4:$Z$4,"SUBTOTAL",$L$14:$Z$14)</f>
        <v>0</v>
      </c>
    </row>
    <row r="15" spans="1:27" ht="11.25" customHeight="1" x14ac:dyDescent="0.3">
      <c r="A15" s="129"/>
      <c r="B15" s="129" t="s">
        <v>83</v>
      </c>
      <c r="C15" s="129" t="s">
        <v>24</v>
      </c>
      <c r="D15" s="38" t="s">
        <v>24</v>
      </c>
      <c r="E15" s="38" t="s">
        <v>25</v>
      </c>
      <c r="F15" s="38" t="s">
        <v>25</v>
      </c>
      <c r="G15" s="32" t="s">
        <v>74</v>
      </c>
      <c r="H15" s="32" t="s">
        <v>67</v>
      </c>
      <c r="I15" s="32">
        <f>'MERCADO TE'!$U$12</f>
        <v>0</v>
      </c>
      <c r="J15" s="17"/>
      <c r="L15" s="30">
        <f>'TE BE'!$L$15*'TE BF'!$L$48</f>
        <v>0</v>
      </c>
      <c r="M15" s="30">
        <f>'TE BE'!$M$15*'TE BF'!$M$48</f>
        <v>0</v>
      </c>
      <c r="N15" s="30">
        <f>'TE BE'!$N$15*'TE BF'!$N$48</f>
        <v>0</v>
      </c>
      <c r="O15" s="30">
        <f>'TE BE'!$O$15*'TE BF'!$O$48</f>
        <v>0</v>
      </c>
      <c r="P15" s="30">
        <f>SUM($L$15:$O$15)</f>
        <v>0</v>
      </c>
      <c r="Q15" s="30">
        <f>'TE BE'!$Q$15*'TE BF'!$Q$48</f>
        <v>0</v>
      </c>
      <c r="R15" s="30">
        <f>SUM($Q$15:$Q$15)</f>
        <v>0</v>
      </c>
      <c r="S15" s="30">
        <f>'TE BE'!$S$15*'TE BF'!$S$48</f>
        <v>0</v>
      </c>
      <c r="T15" s="30">
        <f>'TE BE'!$T$15*'TE BF'!$T$48</f>
        <v>0</v>
      </c>
      <c r="U15" s="30">
        <f>'TE BE'!$U$15*'TE BF'!$U$48</f>
        <v>0</v>
      </c>
      <c r="V15" s="30">
        <f>SUM($S$15:$U$15)</f>
        <v>0</v>
      </c>
      <c r="W15" s="30">
        <f>'TE BE'!$AA$15*'TE BF'!$W$48</f>
        <v>0</v>
      </c>
      <c r="X15" s="30">
        <f>SUM($W$15:$W$15)</f>
        <v>0</v>
      </c>
      <c r="Y15" s="30">
        <f>'TE BE'!$Y$15*'TE BF'!$Y$48</f>
        <v>0</v>
      </c>
      <c r="Z15" s="30">
        <f>SUM($Y$15:$Y$15)</f>
        <v>0</v>
      </c>
      <c r="AA15" s="30">
        <f>SUMIF($L$4:$Z$4,"SUBTOTAL",$L$15:$Z$15)</f>
        <v>0</v>
      </c>
    </row>
    <row r="16" spans="1:27" ht="11.25" customHeight="1" x14ac:dyDescent="0.3">
      <c r="A16" s="129"/>
      <c r="B16" s="129"/>
      <c r="C16" s="129"/>
      <c r="D16" s="38" t="s">
        <v>29</v>
      </c>
      <c r="E16" s="38" t="s">
        <v>25</v>
      </c>
      <c r="F16" s="38" t="s">
        <v>25</v>
      </c>
      <c r="G16" s="32" t="s">
        <v>74</v>
      </c>
      <c r="H16" s="32" t="s">
        <v>67</v>
      </c>
      <c r="I16" s="32">
        <f>'MERCADO TE'!$U$13</f>
        <v>0</v>
      </c>
      <c r="J16" s="17"/>
      <c r="L16" s="30">
        <f>'TE BE'!$L$16*'TE BF'!$L$48</f>
        <v>0</v>
      </c>
      <c r="M16" s="30">
        <f>'TE BE'!$M$16*'TE BF'!$M$48</f>
        <v>0</v>
      </c>
      <c r="N16" s="30">
        <f>'TE BE'!$N$16*'TE BF'!$N$48</f>
        <v>0</v>
      </c>
      <c r="O16" s="30">
        <f>'TE BE'!$O$16*'TE BF'!$O$48</f>
        <v>0</v>
      </c>
      <c r="P16" s="30">
        <f>SUM($L$16:$O$16)</f>
        <v>0</v>
      </c>
      <c r="Q16" s="30">
        <f>'TE BE'!$Q$16*'TE BF'!$Q$48</f>
        <v>0</v>
      </c>
      <c r="R16" s="30">
        <f>SUM($Q$16:$Q$16)</f>
        <v>0</v>
      </c>
      <c r="S16" s="30">
        <f>'TE BE'!$S$16*'TE BF'!$S$48</f>
        <v>0</v>
      </c>
      <c r="T16" s="30">
        <f>'TE BE'!$T$16*'TE BF'!$T$48</f>
        <v>0</v>
      </c>
      <c r="U16" s="30">
        <f>'TE BE'!$U$16*'TE BF'!$U$48</f>
        <v>0</v>
      </c>
      <c r="V16" s="30">
        <f>SUM($S$16:$U$16)</f>
        <v>0</v>
      </c>
      <c r="W16" s="30">
        <f>'TE BE'!$AA$16*'TE BF'!$W$48</f>
        <v>0</v>
      </c>
      <c r="X16" s="30">
        <f>SUM($W$16:$W$16)</f>
        <v>0</v>
      </c>
      <c r="Y16" s="30">
        <f>'TE BE'!$Y$16*'TE BF'!$Y$48</f>
        <v>0</v>
      </c>
      <c r="Z16" s="30">
        <f>SUM($Y$16:$Y$16)</f>
        <v>0</v>
      </c>
      <c r="AA16" s="30">
        <f>SUMIF($L$4:$Z$4,"SUBTOTAL",$L$16:$Z$16)</f>
        <v>0</v>
      </c>
    </row>
    <row r="17" spans="1:27" ht="11.25" customHeight="1" x14ac:dyDescent="0.3">
      <c r="A17" s="129"/>
      <c r="B17" s="129"/>
      <c r="C17" s="129"/>
      <c r="D17" s="38" t="s">
        <v>30</v>
      </c>
      <c r="E17" s="38" t="s">
        <v>25</v>
      </c>
      <c r="F17" s="38" t="s">
        <v>25</v>
      </c>
      <c r="G17" s="32" t="s">
        <v>74</v>
      </c>
      <c r="H17" s="32" t="s">
        <v>67</v>
      </c>
      <c r="I17" s="32">
        <f>'MERCADO TE'!$U$14</f>
        <v>0</v>
      </c>
      <c r="J17" s="17"/>
      <c r="L17" s="30">
        <f>'TE BE'!$L$17*'TE BF'!$L$48</f>
        <v>0</v>
      </c>
      <c r="M17" s="30">
        <f>'TE BE'!$M$17*'TE BF'!$M$48</f>
        <v>0</v>
      </c>
      <c r="N17" s="30">
        <f>'TE BE'!$N$17*'TE BF'!$N$48</f>
        <v>0</v>
      </c>
      <c r="O17" s="30">
        <f>'TE BE'!$O$17*'TE BF'!$O$48</f>
        <v>0</v>
      </c>
      <c r="P17" s="30">
        <f>SUM($L$17:$O$17)</f>
        <v>0</v>
      </c>
      <c r="Q17" s="30">
        <f>'TE BE'!$Q$17*'TE BF'!$Q$48</f>
        <v>0</v>
      </c>
      <c r="R17" s="30">
        <f>SUM($Q$17:$Q$17)</f>
        <v>0</v>
      </c>
      <c r="S17" s="30">
        <f>'TE BE'!$S$17*'TE BF'!$S$48</f>
        <v>0</v>
      </c>
      <c r="T17" s="30">
        <f>'TE BE'!$T$17*'TE BF'!$T$48</f>
        <v>0</v>
      </c>
      <c r="U17" s="30">
        <f>'TE BE'!$U$17*'TE BF'!$U$48</f>
        <v>0</v>
      </c>
      <c r="V17" s="30">
        <f>SUM($S$17:$U$17)</f>
        <v>0</v>
      </c>
      <c r="W17" s="30">
        <f>'TE BE'!$AA$17*'TE BF'!$W$48</f>
        <v>0</v>
      </c>
      <c r="X17" s="30">
        <f>SUM($W$17:$W$17)</f>
        <v>0</v>
      </c>
      <c r="Y17" s="30">
        <f>'TE BE'!$Y$17*'TE BF'!$Y$48</f>
        <v>0</v>
      </c>
      <c r="Z17" s="30">
        <f>SUM($Y$17:$Y$17)</f>
        <v>0</v>
      </c>
      <c r="AA17" s="30">
        <f>SUMIF($L$4:$Z$4,"SUBTOTAL",$L$17:$Z$17)</f>
        <v>0</v>
      </c>
    </row>
    <row r="18" spans="1:27" ht="11.25" customHeight="1" x14ac:dyDescent="0.3">
      <c r="A18" s="129"/>
      <c r="B18" s="129"/>
      <c r="C18" s="129"/>
      <c r="D18" s="38" t="s">
        <v>31</v>
      </c>
      <c r="E18" s="38" t="s">
        <v>25</v>
      </c>
      <c r="F18" s="38" t="s">
        <v>25</v>
      </c>
      <c r="G18" s="32" t="s">
        <v>74</v>
      </c>
      <c r="H18" s="32" t="s">
        <v>67</v>
      </c>
      <c r="I18" s="32">
        <f>'MERCADO TE'!$U$15</f>
        <v>0</v>
      </c>
      <c r="J18" s="17"/>
      <c r="L18" s="30">
        <f>'TE BE'!$L$18*'TE BF'!$L$48</f>
        <v>0</v>
      </c>
      <c r="M18" s="30">
        <f>'TE BE'!$M$18*'TE BF'!$M$48</f>
        <v>0</v>
      </c>
      <c r="N18" s="30">
        <f>'TE BE'!$N$18*'TE BF'!$N$48</f>
        <v>0</v>
      </c>
      <c r="O18" s="30">
        <f>'TE BE'!$O$18*'TE BF'!$O$48</f>
        <v>0</v>
      </c>
      <c r="P18" s="30">
        <f>SUM($L$18:$O$18)</f>
        <v>0</v>
      </c>
      <c r="Q18" s="30">
        <f>'TE BE'!$Q$18*'TE BF'!$Q$48</f>
        <v>0</v>
      </c>
      <c r="R18" s="30">
        <f>SUM($Q$18:$Q$18)</f>
        <v>0</v>
      </c>
      <c r="S18" s="30">
        <f>'TE BE'!$S$18*'TE BF'!$S$48</f>
        <v>0</v>
      </c>
      <c r="T18" s="30">
        <f>'TE BE'!$T$18*'TE BF'!$T$48</f>
        <v>0</v>
      </c>
      <c r="U18" s="30">
        <f>'TE BE'!$U$18*'TE BF'!$U$48</f>
        <v>0</v>
      </c>
      <c r="V18" s="30">
        <f>SUM($S$18:$U$18)</f>
        <v>0</v>
      </c>
      <c r="W18" s="30">
        <f>'TE BE'!$AA$18*'TE BF'!$W$48</f>
        <v>0</v>
      </c>
      <c r="X18" s="30">
        <f>SUM($W$18:$W$18)</f>
        <v>0</v>
      </c>
      <c r="Y18" s="30">
        <f>'TE BE'!$Y$18*'TE BF'!$Y$48</f>
        <v>0</v>
      </c>
      <c r="Z18" s="30">
        <f>SUM($Y$18:$Y$18)</f>
        <v>0</v>
      </c>
      <c r="AA18" s="30">
        <f>SUMIF($L$4:$Z$4,"SUBTOTAL",$L$18:$Z$18)</f>
        <v>0</v>
      </c>
    </row>
    <row r="19" spans="1:27" ht="11.25" customHeight="1" x14ac:dyDescent="0.3">
      <c r="A19" s="129"/>
      <c r="B19" s="129"/>
      <c r="C19" s="129"/>
      <c r="D19" s="38" t="s">
        <v>32</v>
      </c>
      <c r="E19" s="38" t="s">
        <v>25</v>
      </c>
      <c r="F19" s="38" t="s">
        <v>25</v>
      </c>
      <c r="G19" s="32" t="s">
        <v>74</v>
      </c>
      <c r="H19" s="32" t="s">
        <v>67</v>
      </c>
      <c r="I19" s="32">
        <f>'MERCADO TE'!$U$16</f>
        <v>0</v>
      </c>
      <c r="J19" s="17"/>
      <c r="L19" s="30">
        <f>'TE BE'!$L$19*'TE BF'!$L$48</f>
        <v>0</v>
      </c>
      <c r="M19" s="30">
        <f>'TE BE'!$M$19*'TE BF'!$M$48</f>
        <v>0</v>
      </c>
      <c r="N19" s="30">
        <f>'TE BE'!$N$19*'TE BF'!$N$48</f>
        <v>0</v>
      </c>
      <c r="O19" s="30">
        <f>'TE BE'!$O$19*'TE BF'!$O$48</f>
        <v>0</v>
      </c>
      <c r="P19" s="30">
        <f>SUM($L$19:$O$19)</f>
        <v>0</v>
      </c>
      <c r="Q19" s="30">
        <f>'TE BE'!$Q$19*'TE BF'!$Q$48</f>
        <v>0</v>
      </c>
      <c r="R19" s="30">
        <f>SUM($Q$19:$Q$19)</f>
        <v>0</v>
      </c>
      <c r="S19" s="30">
        <f>'TE BE'!$S$19*'TE BF'!$S$48</f>
        <v>0</v>
      </c>
      <c r="T19" s="30">
        <f>'TE BE'!$T$19*'TE BF'!$T$48</f>
        <v>0</v>
      </c>
      <c r="U19" s="30">
        <f>'TE BE'!$U$19*'TE BF'!$U$48</f>
        <v>0</v>
      </c>
      <c r="V19" s="30">
        <f>SUM($S$19:$U$19)</f>
        <v>0</v>
      </c>
      <c r="W19" s="30">
        <f>'TE BE'!$AA$19*'TE BF'!$W$48</f>
        <v>0</v>
      </c>
      <c r="X19" s="30">
        <f>SUM($W$19:$W$19)</f>
        <v>0</v>
      </c>
      <c r="Y19" s="30">
        <f>'TE BE'!$Y$19*'TE BF'!$Y$48</f>
        <v>0</v>
      </c>
      <c r="Z19" s="30">
        <f>SUM($Y$19:$Y$19)</f>
        <v>0</v>
      </c>
      <c r="AA19" s="30">
        <f>SUMIF($L$4:$Z$4,"SUBTOTAL",$L$19:$Z$19)</f>
        <v>0</v>
      </c>
    </row>
    <row r="20" spans="1:27" ht="11.25" customHeight="1" x14ac:dyDescent="0.3">
      <c r="A20" s="129" t="s">
        <v>40</v>
      </c>
      <c r="B20" s="129" t="s">
        <v>66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2" t="s">
        <v>68</v>
      </c>
      <c r="H20" s="32" t="s">
        <v>67</v>
      </c>
      <c r="I20" s="32">
        <f>'MERCADO TE'!$U$17</f>
        <v>0</v>
      </c>
      <c r="J20" s="17"/>
      <c r="L20" s="30">
        <f>'TE BE'!$L$20*'TE BF'!$L$48</f>
        <v>0</v>
      </c>
      <c r="M20" s="30">
        <f>'TE BE'!$M$20*'TE BF'!$M$48</f>
        <v>0</v>
      </c>
      <c r="N20" s="30">
        <f>'TE BE'!$N$20*'TE BF'!$N$48</f>
        <v>0</v>
      </c>
      <c r="O20" s="30">
        <f>'TE BE'!$O$20*'TE BF'!$O$48</f>
        <v>0</v>
      </c>
      <c r="P20" s="30">
        <f>SUM($L$20:$O$20)</f>
        <v>0</v>
      </c>
      <c r="Q20" s="30">
        <f>'TE BE'!$Q$20*'TE BF'!$Q$48</f>
        <v>0</v>
      </c>
      <c r="R20" s="30">
        <f>SUM($Q$20:$Q$20)</f>
        <v>0</v>
      </c>
      <c r="S20" s="30">
        <f>'TE BE'!$S$20*'TE BF'!$S$48</f>
        <v>0</v>
      </c>
      <c r="T20" s="30">
        <f>'TE BE'!$T$20*'TE BF'!$T$48</f>
        <v>0</v>
      </c>
      <c r="U20" s="30">
        <f>'TE BE'!$U$20*'TE BF'!$U$48</f>
        <v>0</v>
      </c>
      <c r="V20" s="30">
        <f>SUM($S$20:$U$20)</f>
        <v>0</v>
      </c>
      <c r="W20" s="30">
        <f>'TE BE'!$AA$20*'TE BF'!$W$48</f>
        <v>0</v>
      </c>
      <c r="X20" s="30">
        <f>SUM($W$20:$W$20)</f>
        <v>0</v>
      </c>
      <c r="Y20" s="30">
        <f>'TE BE'!$Y$20*'TE BF'!$Y$48</f>
        <v>0</v>
      </c>
      <c r="Z20" s="30">
        <f>SUM($Y$20:$Y$20)</f>
        <v>0</v>
      </c>
      <c r="AA20" s="30">
        <f>SUMIF($L$4:$Z$4,"SUBTOTAL",$L$20:$Z$20)</f>
        <v>0</v>
      </c>
    </row>
    <row r="21" spans="1:27" ht="11.25" customHeight="1" x14ac:dyDescent="0.3">
      <c r="A21" s="129"/>
      <c r="B21" s="129"/>
      <c r="C21" s="129"/>
      <c r="D21" s="129"/>
      <c r="E21" s="129"/>
      <c r="F21" s="129"/>
      <c r="G21" s="32" t="s">
        <v>80</v>
      </c>
      <c r="H21" s="32" t="s">
        <v>67</v>
      </c>
      <c r="I21" s="32">
        <f>'MERCADO TE'!$U$18</f>
        <v>0</v>
      </c>
      <c r="J21" s="17"/>
      <c r="L21" s="30">
        <f>'TE BE'!$L$21*'TE BF'!$L$48</f>
        <v>0</v>
      </c>
      <c r="M21" s="30">
        <f>'TE BE'!$M$21*'TE BF'!$M$48</f>
        <v>0</v>
      </c>
      <c r="N21" s="30">
        <f>'TE BE'!$N$21*'TE BF'!$N$48</f>
        <v>0</v>
      </c>
      <c r="O21" s="30">
        <f>'TE BE'!$O$21*'TE BF'!$O$48</f>
        <v>0</v>
      </c>
      <c r="P21" s="30">
        <f>SUM($L$21:$O$21)</f>
        <v>0</v>
      </c>
      <c r="Q21" s="30">
        <f>'TE BE'!$Q$21*'TE BF'!$Q$48</f>
        <v>0</v>
      </c>
      <c r="R21" s="30">
        <f>SUM($Q$21:$Q$21)</f>
        <v>0</v>
      </c>
      <c r="S21" s="30">
        <f>'TE BE'!$S$21*'TE BF'!$S$48</f>
        <v>0</v>
      </c>
      <c r="T21" s="30">
        <f>'TE BE'!$T$21*'TE BF'!$T$48</f>
        <v>0</v>
      </c>
      <c r="U21" s="30">
        <f>'TE BE'!$U$21*'TE BF'!$U$48</f>
        <v>0</v>
      </c>
      <c r="V21" s="30">
        <f>SUM($S$21:$U$21)</f>
        <v>0</v>
      </c>
      <c r="W21" s="30">
        <f>'TE BE'!$AA$21*'TE BF'!$W$48</f>
        <v>0</v>
      </c>
      <c r="X21" s="30">
        <f>SUM($W$21:$W$21)</f>
        <v>0</v>
      </c>
      <c r="Y21" s="30">
        <f>'TE BE'!$Y$21*'TE BF'!$Y$48</f>
        <v>0</v>
      </c>
      <c r="Z21" s="30">
        <f>SUM($Y$21:$Y$21)</f>
        <v>0</v>
      </c>
      <c r="AA21" s="30">
        <f>SUMIF($L$4:$Z$4,"SUBTOTAL",$L$21:$Z$21)</f>
        <v>0</v>
      </c>
    </row>
    <row r="22" spans="1:27" ht="11.25" customHeight="1" x14ac:dyDescent="0.3">
      <c r="A22" s="129"/>
      <c r="B22" s="129"/>
      <c r="C22" s="129"/>
      <c r="D22" s="129"/>
      <c r="E22" s="129"/>
      <c r="F22" s="129"/>
      <c r="G22" s="32" t="s">
        <v>69</v>
      </c>
      <c r="H22" s="32" t="s">
        <v>67</v>
      </c>
      <c r="I22" s="32">
        <f>'MERCADO TE'!$U$19</f>
        <v>0</v>
      </c>
      <c r="J22" s="17"/>
      <c r="L22" s="30">
        <f>'TE BE'!$L$22*'TE BF'!$L$48</f>
        <v>0</v>
      </c>
      <c r="M22" s="30">
        <f>'TE BE'!$M$22*'TE BF'!$M$48</f>
        <v>0</v>
      </c>
      <c r="N22" s="30">
        <f>'TE BE'!$N$22*'TE BF'!$N$48</f>
        <v>0</v>
      </c>
      <c r="O22" s="30">
        <f>'TE BE'!$O$22*'TE BF'!$O$48</f>
        <v>0</v>
      </c>
      <c r="P22" s="30">
        <f>SUM($L$22:$O$22)</f>
        <v>0</v>
      </c>
      <c r="Q22" s="30">
        <f>'TE BE'!$Q$22*'TE BF'!$Q$48</f>
        <v>0</v>
      </c>
      <c r="R22" s="30">
        <f>SUM($Q$22:$Q$22)</f>
        <v>0</v>
      </c>
      <c r="S22" s="30">
        <f>'TE BE'!$S$22*'TE BF'!$S$48</f>
        <v>0</v>
      </c>
      <c r="T22" s="30">
        <f>'TE BE'!$T$22*'TE BF'!$T$48</f>
        <v>0</v>
      </c>
      <c r="U22" s="30">
        <f>'TE BE'!$U$22*'TE BF'!$U$48</f>
        <v>0</v>
      </c>
      <c r="V22" s="30">
        <f>SUM($S$22:$U$22)</f>
        <v>0</v>
      </c>
      <c r="W22" s="30">
        <f>'TE BE'!$AA$22*'TE BF'!$W$48</f>
        <v>0</v>
      </c>
      <c r="X22" s="30">
        <f>SUM($W$22:$W$22)</f>
        <v>0</v>
      </c>
      <c r="Y22" s="30">
        <f>'TE BE'!$Y$22*'TE BF'!$Y$48</f>
        <v>0</v>
      </c>
      <c r="Z22" s="30">
        <f>SUM($Y$22:$Y$22)</f>
        <v>0</v>
      </c>
      <c r="AA22" s="30">
        <f>SUMIF($L$4:$Z$4,"SUBTOTAL",$L$22:$Z$22)</f>
        <v>0</v>
      </c>
    </row>
    <row r="23" spans="1:27" ht="11.25" customHeight="1" x14ac:dyDescent="0.3">
      <c r="A23" s="129"/>
      <c r="B23" s="38" t="s">
        <v>81</v>
      </c>
      <c r="C23" s="38" t="s">
        <v>41</v>
      </c>
      <c r="D23" s="38" t="s">
        <v>25</v>
      </c>
      <c r="E23" s="38" t="s">
        <v>25</v>
      </c>
      <c r="F23" s="38" t="s">
        <v>25</v>
      </c>
      <c r="G23" s="32" t="s">
        <v>74</v>
      </c>
      <c r="H23" s="32" t="s">
        <v>67</v>
      </c>
      <c r="I23" s="32">
        <f>'MERCADO TE'!$U$20</f>
        <v>1516.1360000000004</v>
      </c>
      <c r="J23" s="17"/>
      <c r="L23" s="30">
        <f>'TE BE'!$L$23*'TE BF'!$L$48</f>
        <v>0</v>
      </c>
      <c r="M23" s="30">
        <f>'TE BE'!$M$23*'TE BF'!$M$48</f>
        <v>0</v>
      </c>
      <c r="N23" s="30">
        <f>'TE BE'!$N$23*'TE BF'!$N$48</f>
        <v>0</v>
      </c>
      <c r="O23" s="30">
        <f>'TE BE'!$O$23*'TE BF'!$O$48</f>
        <v>0</v>
      </c>
      <c r="P23" s="30">
        <f>SUM($L$23:$O$23)</f>
        <v>0</v>
      </c>
      <c r="Q23" s="30">
        <f>'TE BE'!$Q$23*'TE BF'!$Q$48</f>
        <v>0</v>
      </c>
      <c r="R23" s="30">
        <f>SUM($Q$23:$Q$23)</f>
        <v>0</v>
      </c>
      <c r="S23" s="30">
        <f>'TE BE'!$S$23*'TE BF'!$S$48</f>
        <v>0</v>
      </c>
      <c r="T23" s="30">
        <f>'TE BE'!$T$23*'TE BF'!$T$48</f>
        <v>0</v>
      </c>
      <c r="U23" s="30">
        <f>'TE BE'!$U$23*'TE BF'!$U$48</f>
        <v>0</v>
      </c>
      <c r="V23" s="30">
        <f>SUM($S$23:$U$23)</f>
        <v>0</v>
      </c>
      <c r="W23" s="30">
        <f>'TE BE'!$AA$23*'TE BF'!$W$48</f>
        <v>0</v>
      </c>
      <c r="X23" s="30">
        <f>SUM($W$23:$W$23)</f>
        <v>0</v>
      </c>
      <c r="Y23" s="30">
        <f>'TE BE'!$Y$23*'TE BF'!$Y$48</f>
        <v>0</v>
      </c>
      <c r="Z23" s="30">
        <f>SUM($Y$23:$Y$23)</f>
        <v>0</v>
      </c>
      <c r="AA23" s="30">
        <f>SUMIF($L$4:$Z$4,"SUBTOTAL",$L$23:$Z$23)</f>
        <v>0</v>
      </c>
    </row>
    <row r="24" spans="1:27" ht="11.25" customHeight="1" x14ac:dyDescent="0.3">
      <c r="A24" s="129"/>
      <c r="B24" s="129" t="s">
        <v>66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2" t="s">
        <v>68</v>
      </c>
      <c r="H24" s="32" t="s">
        <v>67</v>
      </c>
      <c r="I24" s="32">
        <f>'MERCADO TE'!$U$21</f>
        <v>0</v>
      </c>
      <c r="J24" s="17"/>
      <c r="L24" s="30">
        <f>'TE BE'!$L$24*'TE BF'!$L$48</f>
        <v>0</v>
      </c>
      <c r="M24" s="30">
        <f>'TE BE'!$M$24*'TE BF'!$M$48</f>
        <v>0</v>
      </c>
      <c r="N24" s="30">
        <f>'TE BE'!$N$24*'TE BF'!$N$48</f>
        <v>0</v>
      </c>
      <c r="O24" s="30">
        <f>'TE BE'!$O$24*'TE BF'!$O$48</f>
        <v>0</v>
      </c>
      <c r="P24" s="30">
        <f>SUM($L$24:$O$24)</f>
        <v>0</v>
      </c>
      <c r="Q24" s="30">
        <f>'TE BE'!$Q$24*'TE BF'!$Q$48</f>
        <v>0</v>
      </c>
      <c r="R24" s="30">
        <f>SUM($Q$24:$Q$24)</f>
        <v>0</v>
      </c>
      <c r="S24" s="30">
        <f>'TE BE'!$S$24*'TE BF'!$S$48</f>
        <v>0</v>
      </c>
      <c r="T24" s="30">
        <f>'TE BE'!$T$24*'TE BF'!$T$48</f>
        <v>0</v>
      </c>
      <c r="U24" s="30">
        <f>'TE BE'!$U$24*'TE BF'!$U$48</f>
        <v>0</v>
      </c>
      <c r="V24" s="30">
        <f>SUM($S$24:$U$24)</f>
        <v>0</v>
      </c>
      <c r="W24" s="30">
        <f>'TE BE'!$AA$24*'TE BF'!$W$48</f>
        <v>0</v>
      </c>
      <c r="X24" s="30">
        <f>SUM($W$24:$W$24)</f>
        <v>0</v>
      </c>
      <c r="Y24" s="30">
        <f>'TE BE'!$Y$24*'TE BF'!$Y$48</f>
        <v>0</v>
      </c>
      <c r="Z24" s="30">
        <f>SUM($Y$24:$Y$24)</f>
        <v>0</v>
      </c>
      <c r="AA24" s="30">
        <f>SUMIF($L$4:$Z$4,"SUBTOTAL",$L$24:$Z$24)</f>
        <v>0</v>
      </c>
    </row>
    <row r="25" spans="1:27" ht="11.25" customHeight="1" x14ac:dyDescent="0.3">
      <c r="A25" s="129"/>
      <c r="B25" s="129"/>
      <c r="C25" s="129"/>
      <c r="D25" s="129"/>
      <c r="E25" s="129"/>
      <c r="F25" s="129"/>
      <c r="G25" s="32" t="s">
        <v>80</v>
      </c>
      <c r="H25" s="32" t="s">
        <v>67</v>
      </c>
      <c r="I25" s="32">
        <f>'MERCADO TE'!$U$22</f>
        <v>0</v>
      </c>
      <c r="J25" s="17"/>
      <c r="L25" s="30">
        <f>'TE BE'!$L$25*'TE BF'!$L$48</f>
        <v>0</v>
      </c>
      <c r="M25" s="30">
        <f>'TE BE'!$M$25*'TE BF'!$M$48</f>
        <v>0</v>
      </c>
      <c r="N25" s="30">
        <f>'TE BE'!$N$25*'TE BF'!$N$48</f>
        <v>0</v>
      </c>
      <c r="O25" s="30">
        <f>'TE BE'!$O$25*'TE BF'!$O$48</f>
        <v>0</v>
      </c>
      <c r="P25" s="30">
        <f>SUM($L$25:$O$25)</f>
        <v>0</v>
      </c>
      <c r="Q25" s="30">
        <f>'TE BE'!$Q$25*'TE BF'!$Q$48</f>
        <v>0</v>
      </c>
      <c r="R25" s="30">
        <f>SUM($Q$25:$Q$25)</f>
        <v>0</v>
      </c>
      <c r="S25" s="30">
        <f>'TE BE'!$S$25*'TE BF'!$S$48</f>
        <v>0</v>
      </c>
      <c r="T25" s="30">
        <f>'TE BE'!$T$25*'TE BF'!$T$48</f>
        <v>0</v>
      </c>
      <c r="U25" s="30">
        <f>'TE BE'!$U$25*'TE BF'!$U$48</f>
        <v>0</v>
      </c>
      <c r="V25" s="30">
        <f>SUM($S$25:$U$25)</f>
        <v>0</v>
      </c>
      <c r="W25" s="30">
        <f>'TE BE'!$AA$25*'TE BF'!$W$48</f>
        <v>0</v>
      </c>
      <c r="X25" s="30">
        <f>SUM($W$25:$W$25)</f>
        <v>0</v>
      </c>
      <c r="Y25" s="30">
        <f>'TE BE'!$Y$25*'TE BF'!$Y$48</f>
        <v>0</v>
      </c>
      <c r="Z25" s="30">
        <f>SUM($Y$25:$Y$25)</f>
        <v>0</v>
      </c>
      <c r="AA25" s="30">
        <f>SUMIF($L$4:$Z$4,"SUBTOTAL",$L$25:$Z$25)</f>
        <v>0</v>
      </c>
    </row>
    <row r="26" spans="1:27" ht="11.25" customHeight="1" x14ac:dyDescent="0.3">
      <c r="A26" s="129"/>
      <c r="B26" s="129"/>
      <c r="C26" s="129"/>
      <c r="D26" s="129"/>
      <c r="E26" s="129"/>
      <c r="F26" s="129"/>
      <c r="G26" s="32" t="s">
        <v>69</v>
      </c>
      <c r="H26" s="32" t="s">
        <v>67</v>
      </c>
      <c r="I26" s="32">
        <f>'MERCADO TE'!$U$23</f>
        <v>0</v>
      </c>
      <c r="J26" s="17"/>
      <c r="L26" s="30">
        <f>'TE BE'!$L$26*'TE BF'!$L$48</f>
        <v>0</v>
      </c>
      <c r="M26" s="30">
        <f>'TE BE'!$M$26*'TE BF'!$M$48</f>
        <v>0</v>
      </c>
      <c r="N26" s="30">
        <f>'TE BE'!$N$26*'TE BF'!$N$48</f>
        <v>0</v>
      </c>
      <c r="O26" s="30">
        <f>'TE BE'!$O$26*'TE BF'!$O$48</f>
        <v>0</v>
      </c>
      <c r="P26" s="30">
        <f>SUM($L$26:$O$26)</f>
        <v>0</v>
      </c>
      <c r="Q26" s="30">
        <f>'TE BE'!$Q$26*'TE BF'!$Q$48</f>
        <v>0</v>
      </c>
      <c r="R26" s="30">
        <f>SUM($Q$26:$Q$26)</f>
        <v>0</v>
      </c>
      <c r="S26" s="30">
        <f>'TE BE'!$S$26*'TE BF'!$S$48</f>
        <v>0</v>
      </c>
      <c r="T26" s="30">
        <f>'TE BE'!$T$26*'TE BF'!$T$48</f>
        <v>0</v>
      </c>
      <c r="U26" s="30">
        <f>'TE BE'!$U$26*'TE BF'!$U$48</f>
        <v>0</v>
      </c>
      <c r="V26" s="30">
        <f>SUM($S$26:$U$26)</f>
        <v>0</v>
      </c>
      <c r="W26" s="30">
        <f>'TE BE'!$AA$26*'TE BF'!$W$48</f>
        <v>0</v>
      </c>
      <c r="X26" s="30">
        <f>SUM($W$26:$W$26)</f>
        <v>0</v>
      </c>
      <c r="Y26" s="30">
        <f>'TE BE'!$Y$26*'TE BF'!$Y$48</f>
        <v>0</v>
      </c>
      <c r="Z26" s="30">
        <f>SUM($Y$26:$Y$26)</f>
        <v>0</v>
      </c>
      <c r="AA26" s="30">
        <f>SUMIF($L$4:$Z$4,"SUBTOTAL",$L$26:$Z$26)</f>
        <v>0</v>
      </c>
    </row>
    <row r="27" spans="1:27" ht="11.25" customHeight="1" x14ac:dyDescent="0.3">
      <c r="A27" s="129"/>
      <c r="B27" s="38" t="s">
        <v>81</v>
      </c>
      <c r="C27" s="38" t="s">
        <v>41</v>
      </c>
      <c r="D27" s="38" t="s">
        <v>85</v>
      </c>
      <c r="E27" s="38" t="s">
        <v>25</v>
      </c>
      <c r="F27" s="38" t="s">
        <v>25</v>
      </c>
      <c r="G27" s="32" t="s">
        <v>74</v>
      </c>
      <c r="H27" s="32" t="s">
        <v>67</v>
      </c>
      <c r="I27" s="32">
        <f>'MERCADO TE'!$U$24</f>
        <v>0</v>
      </c>
      <c r="J27" s="17"/>
      <c r="L27" s="30">
        <f>'TE BE'!$L$27*'TE BF'!$L$48</f>
        <v>0</v>
      </c>
      <c r="M27" s="30">
        <f>'TE BE'!$M$27*'TE BF'!$M$48</f>
        <v>0</v>
      </c>
      <c r="N27" s="30">
        <f>'TE BE'!$N$27*'TE BF'!$N$48</f>
        <v>0</v>
      </c>
      <c r="O27" s="30">
        <f>'TE BE'!$O$27*'TE BF'!$O$48</f>
        <v>0</v>
      </c>
      <c r="P27" s="30">
        <f>SUM($L$27:$O$27)</f>
        <v>0</v>
      </c>
      <c r="Q27" s="30">
        <f>'TE BE'!$Q$27*'TE BF'!$Q$48</f>
        <v>0</v>
      </c>
      <c r="R27" s="30">
        <f>SUM($Q$27:$Q$27)</f>
        <v>0</v>
      </c>
      <c r="S27" s="30">
        <f>'TE BE'!$S$27*'TE BF'!$S$48</f>
        <v>0</v>
      </c>
      <c r="T27" s="30">
        <f>'TE BE'!$T$27*'TE BF'!$T$48</f>
        <v>0</v>
      </c>
      <c r="U27" s="30">
        <f>'TE BE'!$U$27*'TE BF'!$U$48</f>
        <v>0</v>
      </c>
      <c r="V27" s="30">
        <f>SUM($S$27:$U$27)</f>
        <v>0</v>
      </c>
      <c r="W27" s="30">
        <f>'TE BE'!$AA$27*'TE BF'!$W$48</f>
        <v>0</v>
      </c>
      <c r="X27" s="30">
        <f>SUM($W$27:$W$27)</f>
        <v>0</v>
      </c>
      <c r="Y27" s="30">
        <f>'TE BE'!$Y$27*'TE BF'!$Y$48</f>
        <v>0</v>
      </c>
      <c r="Z27" s="30">
        <f>SUM($Y$27:$Y$27)</f>
        <v>0</v>
      </c>
      <c r="AA27" s="30">
        <f>SUMIF($L$4:$Z$4,"SUBTOTAL",$L$27:$Z$27)</f>
        <v>0</v>
      </c>
    </row>
    <row r="28" spans="1:27" ht="11.25" customHeight="1" x14ac:dyDescent="0.3">
      <c r="A28" s="129"/>
      <c r="B28" s="129" t="s">
        <v>66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2" t="s">
        <v>68</v>
      </c>
      <c r="H28" s="32" t="s">
        <v>67</v>
      </c>
      <c r="I28" s="32">
        <f>'MERCADO TE'!$U$25</f>
        <v>0</v>
      </c>
      <c r="J28" s="17"/>
      <c r="L28" s="30">
        <f>'TE BE'!$L$28*'TE BF'!$L$48</f>
        <v>0</v>
      </c>
      <c r="M28" s="30">
        <f>'TE BE'!$M$28*'TE BF'!$M$48</f>
        <v>0</v>
      </c>
      <c r="N28" s="30">
        <f>'TE BE'!$N$28*'TE BF'!$N$48</f>
        <v>0</v>
      </c>
      <c r="O28" s="30">
        <f>'TE BE'!$O$28*'TE BF'!$O$48</f>
        <v>0</v>
      </c>
      <c r="P28" s="30">
        <f>SUM($L$28:$O$28)</f>
        <v>0</v>
      </c>
      <c r="Q28" s="30">
        <f>'TE BE'!$Q$28*'TE BF'!$Q$48</f>
        <v>0</v>
      </c>
      <c r="R28" s="30">
        <f>SUM($Q$28:$Q$28)</f>
        <v>0</v>
      </c>
      <c r="S28" s="30">
        <f>'TE BE'!$S$28*'TE BF'!$S$48</f>
        <v>0</v>
      </c>
      <c r="T28" s="30">
        <f>'TE BE'!$T$28*'TE BF'!$T$48</f>
        <v>0</v>
      </c>
      <c r="U28" s="30">
        <f>'TE BE'!$U$28*'TE BF'!$U$48</f>
        <v>0</v>
      </c>
      <c r="V28" s="30">
        <f>SUM($S$28:$U$28)</f>
        <v>0</v>
      </c>
      <c r="W28" s="30">
        <f>'TE BE'!$AA$28*'TE BF'!$W$48</f>
        <v>0</v>
      </c>
      <c r="X28" s="30">
        <f>SUM($W$28:$W$28)</f>
        <v>0</v>
      </c>
      <c r="Y28" s="30">
        <f>'TE BE'!$Y$28*'TE BF'!$Y$48</f>
        <v>0</v>
      </c>
      <c r="Z28" s="30">
        <f>SUM($Y$28:$Y$28)</f>
        <v>0</v>
      </c>
      <c r="AA28" s="30">
        <f>SUMIF($L$4:$Z$4,"SUBTOTAL",$L$28:$Z$28)</f>
        <v>0</v>
      </c>
    </row>
    <row r="29" spans="1:27" ht="11.25" customHeight="1" x14ac:dyDescent="0.3">
      <c r="A29" s="129"/>
      <c r="B29" s="129"/>
      <c r="C29" s="129"/>
      <c r="D29" s="129"/>
      <c r="E29" s="129"/>
      <c r="F29" s="129"/>
      <c r="G29" s="32" t="s">
        <v>80</v>
      </c>
      <c r="H29" s="32" t="s">
        <v>67</v>
      </c>
      <c r="I29" s="32">
        <f>'MERCADO TE'!$U$26</f>
        <v>0</v>
      </c>
      <c r="J29" s="17"/>
      <c r="L29" s="30">
        <f>'TE BE'!$L$29*'TE BF'!$L$48</f>
        <v>0</v>
      </c>
      <c r="M29" s="30">
        <f>'TE BE'!$M$29*'TE BF'!$M$48</f>
        <v>0</v>
      </c>
      <c r="N29" s="30">
        <f>'TE BE'!$N$29*'TE BF'!$N$48</f>
        <v>0</v>
      </c>
      <c r="O29" s="30">
        <f>'TE BE'!$O$29*'TE BF'!$O$48</f>
        <v>0</v>
      </c>
      <c r="P29" s="30">
        <f>SUM($L$29:$O$29)</f>
        <v>0</v>
      </c>
      <c r="Q29" s="30">
        <f>'TE BE'!$Q$29*'TE BF'!$Q$48</f>
        <v>0</v>
      </c>
      <c r="R29" s="30">
        <f>SUM($Q$29:$Q$29)</f>
        <v>0</v>
      </c>
      <c r="S29" s="30">
        <f>'TE BE'!$S$29*'TE BF'!$S$48</f>
        <v>0</v>
      </c>
      <c r="T29" s="30">
        <f>'TE BE'!$T$29*'TE BF'!$T$48</f>
        <v>0</v>
      </c>
      <c r="U29" s="30">
        <f>'TE BE'!$U$29*'TE BF'!$U$48</f>
        <v>0</v>
      </c>
      <c r="V29" s="30">
        <f>SUM($S$29:$U$29)</f>
        <v>0</v>
      </c>
      <c r="W29" s="30">
        <f>'TE BE'!$AA$29*'TE BF'!$W$48</f>
        <v>0</v>
      </c>
      <c r="X29" s="30">
        <f>SUM($W$29:$W$29)</f>
        <v>0</v>
      </c>
      <c r="Y29" s="30">
        <f>'TE BE'!$Y$29*'TE BF'!$Y$48</f>
        <v>0</v>
      </c>
      <c r="Z29" s="30">
        <f>SUM($Y$29:$Y$29)</f>
        <v>0</v>
      </c>
      <c r="AA29" s="30">
        <f>SUMIF($L$4:$Z$4,"SUBTOTAL",$L$29:$Z$29)</f>
        <v>0</v>
      </c>
    </row>
    <row r="30" spans="1:27" ht="11.25" customHeight="1" x14ac:dyDescent="0.3">
      <c r="A30" s="129"/>
      <c r="B30" s="129"/>
      <c r="C30" s="129"/>
      <c r="D30" s="129"/>
      <c r="E30" s="129"/>
      <c r="F30" s="129"/>
      <c r="G30" s="32" t="s">
        <v>69</v>
      </c>
      <c r="H30" s="32" t="s">
        <v>67</v>
      </c>
      <c r="I30" s="32">
        <f>'MERCADO TE'!$U$27</f>
        <v>0</v>
      </c>
      <c r="J30" s="17"/>
      <c r="L30" s="30">
        <f>'TE BE'!$L$30*'TE BF'!$L$48</f>
        <v>0</v>
      </c>
      <c r="M30" s="30">
        <f>'TE BE'!$M$30*'TE BF'!$M$48</f>
        <v>0</v>
      </c>
      <c r="N30" s="30">
        <f>'TE BE'!$N$30*'TE BF'!$N$48</f>
        <v>0</v>
      </c>
      <c r="O30" s="30">
        <f>'TE BE'!$O$30*'TE BF'!$O$48</f>
        <v>0</v>
      </c>
      <c r="P30" s="30">
        <f>SUM($L$30:$O$30)</f>
        <v>0</v>
      </c>
      <c r="Q30" s="30">
        <f>'TE BE'!$Q$30*'TE BF'!$Q$48</f>
        <v>0</v>
      </c>
      <c r="R30" s="30">
        <f>SUM($Q$30:$Q$30)</f>
        <v>0</v>
      </c>
      <c r="S30" s="30">
        <f>'TE BE'!$S$30*'TE BF'!$S$48</f>
        <v>0</v>
      </c>
      <c r="T30" s="30">
        <f>'TE BE'!$T$30*'TE BF'!$T$48</f>
        <v>0</v>
      </c>
      <c r="U30" s="30">
        <f>'TE BE'!$U$30*'TE BF'!$U$48</f>
        <v>0</v>
      </c>
      <c r="V30" s="30">
        <f>SUM($S$30:$U$30)</f>
        <v>0</v>
      </c>
      <c r="W30" s="30">
        <f>'TE BE'!$AA$30*'TE BF'!$W$48</f>
        <v>0</v>
      </c>
      <c r="X30" s="30">
        <f>SUM($W$30:$W$30)</f>
        <v>0</v>
      </c>
      <c r="Y30" s="30">
        <f>'TE BE'!$Y$30*'TE BF'!$Y$48</f>
        <v>0</v>
      </c>
      <c r="Z30" s="30">
        <f>SUM($Y$30:$Y$30)</f>
        <v>0</v>
      </c>
      <c r="AA30" s="30">
        <f>SUMIF($L$4:$Z$4,"SUBTOTAL",$L$30:$Z$30)</f>
        <v>0</v>
      </c>
    </row>
    <row r="31" spans="1:27" ht="11.25" customHeight="1" x14ac:dyDescent="0.3">
      <c r="A31" s="129"/>
      <c r="B31" s="38" t="s">
        <v>81</v>
      </c>
      <c r="C31" s="38" t="s">
        <v>41</v>
      </c>
      <c r="D31" s="38" t="s">
        <v>86</v>
      </c>
      <c r="E31" s="38" t="s">
        <v>25</v>
      </c>
      <c r="F31" s="38" t="s">
        <v>25</v>
      </c>
      <c r="G31" s="32" t="s">
        <v>74</v>
      </c>
      <c r="H31" s="32" t="s">
        <v>67</v>
      </c>
      <c r="I31" s="32">
        <f>'MERCADO TE'!$U$28</f>
        <v>0</v>
      </c>
      <c r="J31" s="17"/>
      <c r="L31" s="30">
        <f>'TE BE'!$L$31*'TE BF'!$L$48</f>
        <v>0</v>
      </c>
      <c r="M31" s="30">
        <f>'TE BE'!$M$31*'TE BF'!$M$48</f>
        <v>0</v>
      </c>
      <c r="N31" s="30">
        <f>'TE BE'!$N$31*'TE BF'!$N$48</f>
        <v>0</v>
      </c>
      <c r="O31" s="30">
        <f>'TE BE'!$O$31*'TE BF'!$O$48</f>
        <v>0</v>
      </c>
      <c r="P31" s="30">
        <f>SUM($L$31:$O$31)</f>
        <v>0</v>
      </c>
      <c r="Q31" s="30">
        <f>'TE BE'!$Q$31*'TE BF'!$Q$48</f>
        <v>0</v>
      </c>
      <c r="R31" s="30">
        <f>SUM($Q$31:$Q$31)</f>
        <v>0</v>
      </c>
      <c r="S31" s="30">
        <f>'TE BE'!$S$31*'TE BF'!$S$48</f>
        <v>0</v>
      </c>
      <c r="T31" s="30">
        <f>'TE BE'!$T$31*'TE BF'!$T$48</f>
        <v>0</v>
      </c>
      <c r="U31" s="30">
        <f>'TE BE'!$U$31*'TE BF'!$U$48</f>
        <v>0</v>
      </c>
      <c r="V31" s="30">
        <f>SUM($S$31:$U$31)</f>
        <v>0</v>
      </c>
      <c r="W31" s="30">
        <f>'TE BE'!$AA$31*'TE BF'!$W$48</f>
        <v>0</v>
      </c>
      <c r="X31" s="30">
        <f>SUM($W$31:$W$31)</f>
        <v>0</v>
      </c>
      <c r="Y31" s="30">
        <f>'TE BE'!$Y$31*'TE BF'!$Y$48</f>
        <v>0</v>
      </c>
      <c r="Z31" s="30">
        <f>SUM($Y$31:$Y$31)</f>
        <v>0</v>
      </c>
      <c r="AA31" s="30">
        <f>SUMIF($L$4:$Z$4,"SUBTOTAL",$L$31:$Z$31)</f>
        <v>0</v>
      </c>
    </row>
    <row r="32" spans="1:27" ht="11.25" customHeight="1" x14ac:dyDescent="0.3">
      <c r="A32" s="129"/>
      <c r="B32" s="129" t="s">
        <v>83</v>
      </c>
      <c r="C32" s="129" t="s">
        <v>41</v>
      </c>
      <c r="D32" s="38" t="s">
        <v>25</v>
      </c>
      <c r="E32" s="38" t="s">
        <v>25</v>
      </c>
      <c r="F32" s="38" t="s">
        <v>25</v>
      </c>
      <c r="G32" s="32" t="s">
        <v>74</v>
      </c>
      <c r="H32" s="32" t="s">
        <v>67</v>
      </c>
      <c r="I32" s="32">
        <f>'MERCADO TE'!$U$29</f>
        <v>0</v>
      </c>
      <c r="J32" s="17"/>
      <c r="L32" s="30">
        <f>'TE BE'!$L$32*'TE BF'!$L$48</f>
        <v>0</v>
      </c>
      <c r="M32" s="30">
        <f>'TE BE'!$M$32*'TE BF'!$M$48</f>
        <v>0</v>
      </c>
      <c r="N32" s="30">
        <f>'TE BE'!$N$32*'TE BF'!$N$48</f>
        <v>0</v>
      </c>
      <c r="O32" s="30">
        <f>'TE BE'!$O$32*'TE BF'!$O$48</f>
        <v>0</v>
      </c>
      <c r="P32" s="30">
        <f>SUM($L$32:$O$32)</f>
        <v>0</v>
      </c>
      <c r="Q32" s="30">
        <f>'TE BE'!$Q$32*'TE BF'!$Q$48</f>
        <v>0</v>
      </c>
      <c r="R32" s="30">
        <f>SUM($Q$32:$Q$32)</f>
        <v>0</v>
      </c>
      <c r="S32" s="30">
        <f>'TE BE'!$S$32*'TE BF'!$S$48</f>
        <v>0</v>
      </c>
      <c r="T32" s="30">
        <f>'TE BE'!$T$32*'TE BF'!$T$48</f>
        <v>0</v>
      </c>
      <c r="U32" s="30">
        <f>'TE BE'!$U$32*'TE BF'!$U$48</f>
        <v>0</v>
      </c>
      <c r="V32" s="30">
        <f>SUM($S$32:$U$32)</f>
        <v>0</v>
      </c>
      <c r="W32" s="30">
        <f>'TE BE'!$AA$32*'TE BF'!$W$48</f>
        <v>0</v>
      </c>
      <c r="X32" s="30">
        <f>SUM($W$32:$W$32)</f>
        <v>0</v>
      </c>
      <c r="Y32" s="30">
        <f>'TE BE'!$Y$32*'TE BF'!$Y$48</f>
        <v>0</v>
      </c>
      <c r="Z32" s="30">
        <f>SUM($Y$32:$Y$32)</f>
        <v>0</v>
      </c>
      <c r="AA32" s="30">
        <f>SUMIF($L$4:$Z$4,"SUBTOTAL",$L$32:$Z$32)</f>
        <v>0</v>
      </c>
    </row>
    <row r="33" spans="1:27" ht="11.25" customHeight="1" x14ac:dyDescent="0.3">
      <c r="A33" s="129"/>
      <c r="B33" s="129"/>
      <c r="C33" s="129"/>
      <c r="D33" s="38" t="s">
        <v>85</v>
      </c>
      <c r="E33" s="38" t="s">
        <v>25</v>
      </c>
      <c r="F33" s="38" t="s">
        <v>25</v>
      </c>
      <c r="G33" s="32" t="s">
        <v>74</v>
      </c>
      <c r="H33" s="32" t="s">
        <v>67</v>
      </c>
      <c r="I33" s="32">
        <f>'MERCADO TE'!$U$30</f>
        <v>0</v>
      </c>
      <c r="J33" s="17"/>
      <c r="L33" s="30">
        <f>'TE BE'!$L$33*'TE BF'!$L$48</f>
        <v>0</v>
      </c>
      <c r="M33" s="30">
        <f>'TE BE'!$M$33*'TE BF'!$M$48</f>
        <v>0</v>
      </c>
      <c r="N33" s="30">
        <f>'TE BE'!$N$33*'TE BF'!$N$48</f>
        <v>0</v>
      </c>
      <c r="O33" s="30">
        <f>'TE BE'!$O$33*'TE BF'!$O$48</f>
        <v>0</v>
      </c>
      <c r="P33" s="30">
        <f>SUM($L$33:$O$33)</f>
        <v>0</v>
      </c>
      <c r="Q33" s="30">
        <f>'TE BE'!$Q$33*'TE BF'!$Q$48</f>
        <v>0</v>
      </c>
      <c r="R33" s="30">
        <f>SUM($Q$33:$Q$33)</f>
        <v>0</v>
      </c>
      <c r="S33" s="30">
        <f>'TE BE'!$S$33*'TE BF'!$S$48</f>
        <v>0</v>
      </c>
      <c r="T33" s="30">
        <f>'TE BE'!$T$33*'TE BF'!$T$48</f>
        <v>0</v>
      </c>
      <c r="U33" s="30">
        <f>'TE BE'!$U$33*'TE BF'!$U$48</f>
        <v>0</v>
      </c>
      <c r="V33" s="30">
        <f>SUM($S$33:$U$33)</f>
        <v>0</v>
      </c>
      <c r="W33" s="30">
        <f>'TE BE'!$AA$33*'TE BF'!$W$48</f>
        <v>0</v>
      </c>
      <c r="X33" s="30">
        <f>SUM($W$33:$W$33)</f>
        <v>0</v>
      </c>
      <c r="Y33" s="30">
        <f>'TE BE'!$Y$33*'TE BF'!$Y$48</f>
        <v>0</v>
      </c>
      <c r="Z33" s="30">
        <f>SUM($Y$33:$Y$33)</f>
        <v>0</v>
      </c>
      <c r="AA33" s="30">
        <f>SUMIF($L$4:$Z$4,"SUBTOTAL",$L$33:$Z$33)</f>
        <v>0</v>
      </c>
    </row>
    <row r="34" spans="1:27" ht="11.25" customHeight="1" x14ac:dyDescent="0.3">
      <c r="A34" s="129"/>
      <c r="B34" s="129"/>
      <c r="C34" s="129"/>
      <c r="D34" s="38" t="s">
        <v>86</v>
      </c>
      <c r="E34" s="38" t="s">
        <v>25</v>
      </c>
      <c r="F34" s="38" t="s">
        <v>25</v>
      </c>
      <c r="G34" s="32" t="s">
        <v>74</v>
      </c>
      <c r="H34" s="32" t="s">
        <v>67</v>
      </c>
      <c r="I34" s="32">
        <f>'MERCADO TE'!$U$31</f>
        <v>0</v>
      </c>
      <c r="J34" s="17"/>
      <c r="L34" s="30">
        <f>'TE BE'!$L$34*'TE BF'!$L$48</f>
        <v>0</v>
      </c>
      <c r="M34" s="30">
        <f>'TE BE'!$M$34*'TE BF'!$M$48</f>
        <v>0</v>
      </c>
      <c r="N34" s="30">
        <f>'TE BE'!$N$34*'TE BF'!$N$48</f>
        <v>0</v>
      </c>
      <c r="O34" s="30">
        <f>'TE BE'!$O$34*'TE BF'!$O$48</f>
        <v>0</v>
      </c>
      <c r="P34" s="30">
        <f>SUM($L$34:$O$34)</f>
        <v>0</v>
      </c>
      <c r="Q34" s="30">
        <f>'TE BE'!$Q$34*'TE BF'!$Q$48</f>
        <v>0</v>
      </c>
      <c r="R34" s="30">
        <f>SUM($Q$34:$Q$34)</f>
        <v>0</v>
      </c>
      <c r="S34" s="30">
        <f>'TE BE'!$S$34*'TE BF'!$S$48</f>
        <v>0</v>
      </c>
      <c r="T34" s="30">
        <f>'TE BE'!$T$34*'TE BF'!$T$48</f>
        <v>0</v>
      </c>
      <c r="U34" s="30">
        <f>'TE BE'!$U$34*'TE BF'!$U$48</f>
        <v>0</v>
      </c>
      <c r="V34" s="30">
        <f>SUM($S$34:$U$34)</f>
        <v>0</v>
      </c>
      <c r="W34" s="30">
        <f>'TE BE'!$AA$34*'TE BF'!$W$48</f>
        <v>0</v>
      </c>
      <c r="X34" s="30">
        <f>SUM($W$34:$W$34)</f>
        <v>0</v>
      </c>
      <c r="Y34" s="30">
        <f>'TE BE'!$Y$34*'TE BF'!$Y$48</f>
        <v>0</v>
      </c>
      <c r="Z34" s="30">
        <f>SUM($Y$34:$Y$34)</f>
        <v>0</v>
      </c>
      <c r="AA34" s="30">
        <f>SUMIF($L$4:$Z$4,"SUBTOTAL",$L$34:$Z$34)</f>
        <v>0</v>
      </c>
    </row>
    <row r="35" spans="1:27" ht="11.25" customHeight="1" x14ac:dyDescent="0.3">
      <c r="A35" s="129" t="s">
        <v>33</v>
      </c>
      <c r="B35" s="129" t="s">
        <v>66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2" t="s">
        <v>68</v>
      </c>
      <c r="H35" s="32" t="s">
        <v>67</v>
      </c>
      <c r="I35" s="32">
        <f>'MERCADO TE'!$U$32</f>
        <v>0</v>
      </c>
      <c r="J35" s="17"/>
      <c r="L35" s="30">
        <f>'TE BE'!$L$35*'TE BF'!$L$48</f>
        <v>0</v>
      </c>
      <c r="M35" s="30">
        <f>'TE BE'!$M$35*'TE BF'!$M$48</f>
        <v>0</v>
      </c>
      <c r="N35" s="30">
        <f>'TE BE'!$N$35*'TE BF'!$N$48</f>
        <v>0</v>
      </c>
      <c r="O35" s="30">
        <f>'TE BE'!$O$35*'TE BF'!$O$48</f>
        <v>0</v>
      </c>
      <c r="P35" s="30">
        <f>SUM($L$35:$O$35)</f>
        <v>0</v>
      </c>
      <c r="Q35" s="30">
        <f>'TE BE'!$Q$35*'TE BF'!$Q$48</f>
        <v>0</v>
      </c>
      <c r="R35" s="30">
        <f>SUM($Q$35:$Q$35)</f>
        <v>0</v>
      </c>
      <c r="S35" s="30">
        <f>'TE BE'!$S$35*'TE BF'!$S$48</f>
        <v>0</v>
      </c>
      <c r="T35" s="30">
        <f>'TE BE'!$T$35*'TE BF'!$T$48</f>
        <v>0</v>
      </c>
      <c r="U35" s="30">
        <f>'TE BE'!$U$35*'TE BF'!$U$48</f>
        <v>0</v>
      </c>
      <c r="V35" s="30">
        <f>SUM($S$35:$U$35)</f>
        <v>0</v>
      </c>
      <c r="W35" s="30">
        <f>'TE BE'!$AA$35*'TE BF'!$W$48</f>
        <v>0</v>
      </c>
      <c r="X35" s="30">
        <f>SUM($W$35:$W$35)</f>
        <v>0</v>
      </c>
      <c r="Y35" s="30">
        <f>'TE BE'!$Y$35*'TE BF'!$Y$48</f>
        <v>0</v>
      </c>
      <c r="Z35" s="30">
        <f>SUM($Y$35:$Y$35)</f>
        <v>0</v>
      </c>
      <c r="AA35" s="30">
        <f>SUMIF($L$4:$Z$4,"SUBTOTAL",$L$35:$Z$35)</f>
        <v>0</v>
      </c>
    </row>
    <row r="36" spans="1:27" ht="11.25" customHeight="1" x14ac:dyDescent="0.3">
      <c r="A36" s="129"/>
      <c r="B36" s="129"/>
      <c r="C36" s="129"/>
      <c r="D36" s="129"/>
      <c r="E36" s="129"/>
      <c r="F36" s="129"/>
      <c r="G36" s="32" t="s">
        <v>80</v>
      </c>
      <c r="H36" s="32" t="s">
        <v>67</v>
      </c>
      <c r="I36" s="32">
        <f>'MERCADO TE'!$U$33</f>
        <v>0</v>
      </c>
      <c r="J36" s="17"/>
      <c r="L36" s="30">
        <f>'TE BE'!$L$36*'TE BF'!$L$48</f>
        <v>0</v>
      </c>
      <c r="M36" s="30">
        <f>'TE BE'!$M$36*'TE BF'!$M$48</f>
        <v>0</v>
      </c>
      <c r="N36" s="30">
        <f>'TE BE'!$N$36*'TE BF'!$N$48</f>
        <v>0</v>
      </c>
      <c r="O36" s="30">
        <f>'TE BE'!$O$36*'TE BF'!$O$48</f>
        <v>0</v>
      </c>
      <c r="P36" s="30">
        <f>SUM($L$36:$O$36)</f>
        <v>0</v>
      </c>
      <c r="Q36" s="30">
        <f>'TE BE'!$Q$36*'TE BF'!$Q$48</f>
        <v>0</v>
      </c>
      <c r="R36" s="30">
        <f>SUM($Q$36:$Q$36)</f>
        <v>0</v>
      </c>
      <c r="S36" s="30">
        <f>'TE BE'!$S$36*'TE BF'!$S$48</f>
        <v>0</v>
      </c>
      <c r="T36" s="30">
        <f>'TE BE'!$T$36*'TE BF'!$T$48</f>
        <v>0</v>
      </c>
      <c r="U36" s="30">
        <f>'TE BE'!$U$36*'TE BF'!$U$48</f>
        <v>0</v>
      </c>
      <c r="V36" s="30">
        <f>SUM($S$36:$U$36)</f>
        <v>0</v>
      </c>
      <c r="W36" s="30">
        <f>'TE BE'!$AA$36*'TE BF'!$W$48</f>
        <v>0</v>
      </c>
      <c r="X36" s="30">
        <f>SUM($W$36:$W$36)</f>
        <v>0</v>
      </c>
      <c r="Y36" s="30">
        <f>'TE BE'!$Y$36*'TE BF'!$Y$48</f>
        <v>0</v>
      </c>
      <c r="Z36" s="30">
        <f>SUM($Y$36:$Y$36)</f>
        <v>0</v>
      </c>
      <c r="AA36" s="30">
        <f>SUMIF($L$4:$Z$4,"SUBTOTAL",$L$36:$Z$36)</f>
        <v>0</v>
      </c>
    </row>
    <row r="37" spans="1:27" ht="11.25" customHeight="1" x14ac:dyDescent="0.3">
      <c r="A37" s="129"/>
      <c r="B37" s="129"/>
      <c r="C37" s="129"/>
      <c r="D37" s="129"/>
      <c r="E37" s="129"/>
      <c r="F37" s="129"/>
      <c r="G37" s="32" t="s">
        <v>69</v>
      </c>
      <c r="H37" s="32" t="s">
        <v>67</v>
      </c>
      <c r="I37" s="32">
        <f>'MERCADO TE'!$U$34</f>
        <v>0</v>
      </c>
      <c r="J37" s="17"/>
      <c r="L37" s="30">
        <f>'TE BE'!$L$37*'TE BF'!$L$48</f>
        <v>0</v>
      </c>
      <c r="M37" s="30">
        <f>'TE BE'!$M$37*'TE BF'!$M$48</f>
        <v>0</v>
      </c>
      <c r="N37" s="30">
        <f>'TE BE'!$N$37*'TE BF'!$N$48</f>
        <v>0</v>
      </c>
      <c r="O37" s="30">
        <f>'TE BE'!$O$37*'TE BF'!$O$48</f>
        <v>0</v>
      </c>
      <c r="P37" s="30">
        <f>SUM($L$37:$O$37)</f>
        <v>0</v>
      </c>
      <c r="Q37" s="30">
        <f>'TE BE'!$Q$37*'TE BF'!$Q$48</f>
        <v>0</v>
      </c>
      <c r="R37" s="30">
        <f>SUM($Q$37:$Q$37)</f>
        <v>0</v>
      </c>
      <c r="S37" s="30">
        <f>'TE BE'!$S$37*'TE BF'!$S$48</f>
        <v>0</v>
      </c>
      <c r="T37" s="30">
        <f>'TE BE'!$T$37*'TE BF'!$T$48</f>
        <v>0</v>
      </c>
      <c r="U37" s="30">
        <f>'TE BE'!$U$37*'TE BF'!$U$48</f>
        <v>0</v>
      </c>
      <c r="V37" s="30">
        <f>SUM($S$37:$U$37)</f>
        <v>0</v>
      </c>
      <c r="W37" s="30">
        <f>'TE BE'!$AA$37*'TE BF'!$W$48</f>
        <v>0</v>
      </c>
      <c r="X37" s="30">
        <f>SUM($W$37:$W$37)</f>
        <v>0</v>
      </c>
      <c r="Y37" s="30">
        <f>'TE BE'!$Y$37*'TE BF'!$Y$48</f>
        <v>0</v>
      </c>
      <c r="Z37" s="30">
        <f>SUM($Y$37:$Y$37)</f>
        <v>0</v>
      </c>
      <c r="AA37" s="30">
        <f>SUMIF($L$4:$Z$4,"SUBTOTAL",$L$37:$Z$37)</f>
        <v>0</v>
      </c>
    </row>
    <row r="38" spans="1:27" ht="11.25" customHeight="1" x14ac:dyDescent="0.3">
      <c r="A38" s="129"/>
      <c r="B38" s="38" t="s">
        <v>81</v>
      </c>
      <c r="C38" s="38" t="s">
        <v>25</v>
      </c>
      <c r="D38" s="38" t="s">
        <v>25</v>
      </c>
      <c r="E38" s="38" t="s">
        <v>25</v>
      </c>
      <c r="F38" s="38" t="s">
        <v>25</v>
      </c>
      <c r="G38" s="32" t="s">
        <v>74</v>
      </c>
      <c r="H38" s="32" t="s">
        <v>67</v>
      </c>
      <c r="I38" s="32">
        <f>'MERCADO TE'!$U$35</f>
        <v>6518.4639999999999</v>
      </c>
      <c r="J38" s="17"/>
      <c r="L38" s="30">
        <f>'TE BE'!$L$38*'TE BF'!$L$48</f>
        <v>0</v>
      </c>
      <c r="M38" s="30">
        <f>'TE BE'!$M$38*'TE BF'!$M$48</f>
        <v>0</v>
      </c>
      <c r="N38" s="30">
        <f>'TE BE'!$N$38*'TE BF'!$N$48</f>
        <v>0</v>
      </c>
      <c r="O38" s="30">
        <f>'TE BE'!$O$38*'TE BF'!$O$48</f>
        <v>0</v>
      </c>
      <c r="P38" s="30">
        <f>SUM($L$38:$O$38)</f>
        <v>0</v>
      </c>
      <c r="Q38" s="30">
        <f>'TE BE'!$Q$38*'TE BF'!$Q$48</f>
        <v>0</v>
      </c>
      <c r="R38" s="30">
        <f>SUM($Q$38:$Q$38)</f>
        <v>0</v>
      </c>
      <c r="S38" s="30">
        <f>'TE BE'!$S$38*'TE BF'!$S$48</f>
        <v>0</v>
      </c>
      <c r="T38" s="30">
        <f>'TE BE'!$T$38*'TE BF'!$T$48</f>
        <v>0</v>
      </c>
      <c r="U38" s="30">
        <f>'TE BE'!$U$38*'TE BF'!$U$48</f>
        <v>0</v>
      </c>
      <c r="V38" s="30">
        <f>SUM($S$38:$U$38)</f>
        <v>0</v>
      </c>
      <c r="W38" s="30">
        <f>'TE BE'!$AA$38*'TE BF'!$W$48</f>
        <v>0</v>
      </c>
      <c r="X38" s="30">
        <f>SUM($W$38:$W$38)</f>
        <v>0</v>
      </c>
      <c r="Y38" s="30">
        <f>'TE BE'!$Y$38*'TE BF'!$Y$48</f>
        <v>0</v>
      </c>
      <c r="Z38" s="30">
        <f>SUM($Y$38:$Y$38)</f>
        <v>0</v>
      </c>
      <c r="AA38" s="30">
        <f>SUMIF($L$4:$Z$4,"SUBTOTAL",$L$38:$Z$38)</f>
        <v>0</v>
      </c>
    </row>
    <row r="39" spans="1:27" ht="11.25" customHeight="1" x14ac:dyDescent="0.3">
      <c r="A39" s="129"/>
      <c r="B39" s="38" t="s">
        <v>83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74</v>
      </c>
      <c r="H39" s="32" t="s">
        <v>67</v>
      </c>
      <c r="I39" s="32">
        <f>'MERCADO TE'!$U$36</f>
        <v>0</v>
      </c>
      <c r="J39" s="17"/>
      <c r="L39" s="30">
        <f>'TE BE'!$L$39*'TE BF'!$L$48</f>
        <v>0</v>
      </c>
      <c r="M39" s="30">
        <f>'TE BE'!$M$39*'TE BF'!$M$48</f>
        <v>0</v>
      </c>
      <c r="N39" s="30">
        <f>'TE BE'!$N$39*'TE BF'!$N$48</f>
        <v>0</v>
      </c>
      <c r="O39" s="30">
        <f>'TE BE'!$O$39*'TE BF'!$O$48</f>
        <v>0</v>
      </c>
      <c r="P39" s="30">
        <f>SUM($L$39:$O$39)</f>
        <v>0</v>
      </c>
      <c r="Q39" s="30">
        <f>'TE BE'!$Q$39*'TE BF'!$Q$48</f>
        <v>0</v>
      </c>
      <c r="R39" s="30">
        <f>SUM($Q$39:$Q$39)</f>
        <v>0</v>
      </c>
      <c r="S39" s="30">
        <f>'TE BE'!$S$39*'TE BF'!$S$48</f>
        <v>0</v>
      </c>
      <c r="T39" s="30">
        <f>'TE BE'!$T$39*'TE BF'!$T$48</f>
        <v>0</v>
      </c>
      <c r="U39" s="30">
        <f>'TE BE'!$U$39*'TE BF'!$U$48</f>
        <v>0</v>
      </c>
      <c r="V39" s="30">
        <f>SUM($S$39:$U$39)</f>
        <v>0</v>
      </c>
      <c r="W39" s="30">
        <f>'TE BE'!$AA$39*'TE BF'!$W$48</f>
        <v>0</v>
      </c>
      <c r="X39" s="30">
        <f>SUM($W$39:$W$39)</f>
        <v>0</v>
      </c>
      <c r="Y39" s="30">
        <f>'TE BE'!$Y$39*'TE BF'!$Y$48</f>
        <v>0</v>
      </c>
      <c r="Z39" s="30">
        <f>SUM($Y$39:$Y$39)</f>
        <v>0</v>
      </c>
      <c r="AA39" s="30">
        <f>SUMIF($L$4:$Z$4,"SUBTOTAL",$L$39:$Z$39)</f>
        <v>0</v>
      </c>
    </row>
    <row r="40" spans="1:27" ht="11.25" customHeight="1" x14ac:dyDescent="0.3">
      <c r="A40" s="129" t="s">
        <v>43</v>
      </c>
      <c r="B40" s="129" t="s">
        <v>81</v>
      </c>
      <c r="C40" s="129" t="s">
        <v>44</v>
      </c>
      <c r="D40" s="38" t="s">
        <v>45</v>
      </c>
      <c r="E40" s="38" t="s">
        <v>25</v>
      </c>
      <c r="F40" s="38" t="s">
        <v>25</v>
      </c>
      <c r="G40" s="32" t="s">
        <v>74</v>
      </c>
      <c r="H40" s="32" t="s">
        <v>67</v>
      </c>
      <c r="I40" s="32">
        <f>'MERCADO TE'!$U$37</f>
        <v>665.90099999999984</v>
      </c>
      <c r="J40" s="17"/>
      <c r="L40" s="30">
        <f>'TE BE'!$L$40*'TE BF'!$L$48</f>
        <v>0</v>
      </c>
      <c r="M40" s="30">
        <f>'TE BE'!$M$40*'TE BF'!$M$48</f>
        <v>0</v>
      </c>
      <c r="N40" s="30">
        <f>'TE BE'!$N$40*'TE BF'!$N$48</f>
        <v>0</v>
      </c>
      <c r="O40" s="30">
        <f>'TE BE'!$O$40*'TE BF'!$O$48</f>
        <v>0</v>
      </c>
      <c r="P40" s="30">
        <f>SUM($L$40:$O$40)</f>
        <v>0</v>
      </c>
      <c r="Q40" s="30">
        <f>'TE BE'!$Q$40*'TE BF'!$Q$48</f>
        <v>0</v>
      </c>
      <c r="R40" s="30">
        <f>SUM($Q$40:$Q$40)</f>
        <v>0</v>
      </c>
      <c r="S40" s="30">
        <f>'TE BE'!$S$40*'TE BF'!$S$48</f>
        <v>0</v>
      </c>
      <c r="T40" s="30">
        <f>'TE BE'!$T$40*'TE BF'!$T$48</f>
        <v>0</v>
      </c>
      <c r="U40" s="30">
        <f>'TE BE'!$U$40*'TE BF'!$U$48</f>
        <v>0</v>
      </c>
      <c r="V40" s="30">
        <f>SUM($S$40:$U$40)</f>
        <v>0</v>
      </c>
      <c r="W40" s="30">
        <f>'TE BE'!$AA$40*'TE BF'!$W$48</f>
        <v>0</v>
      </c>
      <c r="X40" s="30">
        <f>SUM($W$40:$W$40)</f>
        <v>0</v>
      </c>
      <c r="Y40" s="30">
        <f>'TE BE'!$Y$40*'TE BF'!$Y$48</f>
        <v>0</v>
      </c>
      <c r="Z40" s="30">
        <f>SUM($Y$40:$Y$40)</f>
        <v>0</v>
      </c>
      <c r="AA40" s="30">
        <f>SUMIF($L$4:$Z$4,"SUBTOTAL",$L$40:$Z$40)</f>
        <v>0</v>
      </c>
    </row>
    <row r="41" spans="1:27" ht="11.25" customHeight="1" x14ac:dyDescent="0.3">
      <c r="A41" s="129"/>
      <c r="B41" s="129"/>
      <c r="C41" s="129"/>
      <c r="D41" s="32" t="s">
        <v>87</v>
      </c>
      <c r="E41" s="32" t="s">
        <v>25</v>
      </c>
      <c r="F41" s="32" t="s">
        <v>25</v>
      </c>
      <c r="G41" s="32" t="s">
        <v>74</v>
      </c>
      <c r="H41" s="32" t="s">
        <v>67</v>
      </c>
      <c r="I41" s="32">
        <f>'MERCADO TE'!$U$38</f>
        <v>0</v>
      </c>
      <c r="J41" s="17"/>
      <c r="L41" s="30">
        <f>'TE BE'!$L$41*'TE BF'!$L$48</f>
        <v>0</v>
      </c>
      <c r="M41" s="30">
        <f>'TE BE'!$M$41*'TE BF'!$M$48</f>
        <v>0</v>
      </c>
      <c r="N41" s="30">
        <f>'TE BE'!$N$41*'TE BF'!$N$48</f>
        <v>0</v>
      </c>
      <c r="O41" s="30">
        <f>'TE BE'!$O$41*'TE BF'!$O$48</f>
        <v>0</v>
      </c>
      <c r="P41" s="30">
        <f>SUM($L$41:$O$41)</f>
        <v>0</v>
      </c>
      <c r="Q41" s="30">
        <f>'TE BE'!$Q$41*'TE BF'!$Q$48</f>
        <v>0</v>
      </c>
      <c r="R41" s="30">
        <f>SUM($Q$41:$Q$41)</f>
        <v>0</v>
      </c>
      <c r="S41" s="30">
        <f>'TE BE'!$S$41*'TE BF'!$S$48</f>
        <v>0</v>
      </c>
      <c r="T41" s="30">
        <f>'TE BE'!$T$41*'TE BF'!$T$48</f>
        <v>0</v>
      </c>
      <c r="U41" s="30">
        <f>'TE BE'!$U$41*'TE BF'!$U$48</f>
        <v>0</v>
      </c>
      <c r="V41" s="30">
        <f>SUM($S$41:$U$41)</f>
        <v>0</v>
      </c>
      <c r="W41" s="30">
        <f>'TE BE'!$AA$41*'TE BF'!$W$48</f>
        <v>0</v>
      </c>
      <c r="X41" s="30">
        <f>SUM($W$41:$W$41)</f>
        <v>0</v>
      </c>
      <c r="Y41" s="30">
        <f>'TE BE'!$Y$41*'TE BF'!$Y$48</f>
        <v>0</v>
      </c>
      <c r="Z41" s="30">
        <f>SUM($Y$41:$Y$41)</f>
        <v>0</v>
      </c>
      <c r="AA41" s="30">
        <f>SUMIF($L$4:$Z$4,"SUBTOTAL",$L$41:$Z$41)</f>
        <v>0</v>
      </c>
    </row>
    <row r="43" spans="1:27" ht="11.25" customHeight="1" x14ac:dyDescent="0.3">
      <c r="K43" s="37" t="s">
        <v>469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0</v>
      </c>
      <c r="R43" s="30">
        <f t="shared" si="0"/>
        <v>0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0</v>
      </c>
    </row>
    <row r="44" spans="1:27" ht="11.25" customHeight="1" x14ac:dyDescent="0.3">
      <c r="K44" s="37" t="s">
        <v>388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3637685.8018519101</v>
      </c>
      <c r="R44" s="30">
        <f>CUSTOS!$D$36</f>
        <v>3637685.8018519101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3637685.8018519101</v>
      </c>
    </row>
    <row r="45" spans="1:27" ht="11.25" customHeight="1" x14ac:dyDescent="0.3">
      <c r="K45" s="37" t="s">
        <v>389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864196.38677906559</v>
      </c>
      <c r="R45" s="30">
        <f>CUSTOS!$E$36</f>
        <v>864196.38677906559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0</v>
      </c>
      <c r="X45" s="30">
        <f>CUSTOS!$E$42</f>
        <v>0</v>
      </c>
      <c r="Y45" s="30">
        <f>CUSTOS!$E$43</f>
        <v>0</v>
      </c>
      <c r="Z45" s="30">
        <f>CUSTOS!$E$44</f>
        <v>0</v>
      </c>
      <c r="AA45" s="30">
        <f>CUSTOS!$E$45</f>
        <v>864196.38677906559</v>
      </c>
    </row>
    <row r="46" spans="1:27" ht="11.25" customHeight="1" x14ac:dyDescent="0.3">
      <c r="K46" s="37" t="s">
        <v>390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1:27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3">
    <cfRule type="cellIs" dxfId="565" priority="31" operator="notEqual">
      <formula>$L$46</formula>
    </cfRule>
    <cfRule type="cellIs" dxfId="564" priority="32" operator="equal">
      <formula>$L$46</formula>
    </cfRule>
  </conditionalFormatting>
  <conditionalFormatting sqref="M43">
    <cfRule type="cellIs" dxfId="563" priority="29" operator="notEqual">
      <formula>$M$46</formula>
    </cfRule>
    <cfRule type="cellIs" dxfId="562" priority="30" operator="equal">
      <formula>$M$46</formula>
    </cfRule>
  </conditionalFormatting>
  <conditionalFormatting sqref="N43">
    <cfRule type="cellIs" dxfId="561" priority="27" operator="notEqual">
      <formula>$N$46</formula>
    </cfRule>
    <cfRule type="cellIs" dxfId="560" priority="28" operator="equal">
      <formula>$N$46</formula>
    </cfRule>
  </conditionalFormatting>
  <conditionalFormatting sqref="O43">
    <cfRule type="cellIs" dxfId="559" priority="25" operator="notEqual">
      <formula>$O$46</formula>
    </cfRule>
    <cfRule type="cellIs" dxfId="558" priority="26" operator="equal">
      <formula>$O$46</formula>
    </cfRule>
  </conditionalFormatting>
  <conditionalFormatting sqref="P43">
    <cfRule type="cellIs" dxfId="557" priority="23" operator="notEqual">
      <formula>$P$46</formula>
    </cfRule>
    <cfRule type="cellIs" dxfId="556" priority="24" operator="equal">
      <formula>$P$46</formula>
    </cfRule>
  </conditionalFormatting>
  <conditionalFormatting sqref="Q43">
    <cfRule type="cellIs" dxfId="555" priority="21" operator="notEqual">
      <formula>$Q$46</formula>
    </cfRule>
    <cfRule type="cellIs" dxfId="554" priority="22" operator="equal">
      <formula>$Q$46</formula>
    </cfRule>
  </conditionalFormatting>
  <conditionalFormatting sqref="R43">
    <cfRule type="cellIs" dxfId="553" priority="19" operator="notEqual">
      <formula>$R$46</formula>
    </cfRule>
    <cfRule type="cellIs" dxfId="552" priority="20" operator="equal">
      <formula>$R$46</formula>
    </cfRule>
  </conditionalFormatting>
  <conditionalFormatting sqref="S43">
    <cfRule type="cellIs" dxfId="551" priority="17" operator="notEqual">
      <formula>$S$46</formula>
    </cfRule>
    <cfRule type="cellIs" dxfId="550" priority="18" operator="equal">
      <formula>$S$46</formula>
    </cfRule>
  </conditionalFormatting>
  <conditionalFormatting sqref="T43">
    <cfRule type="cellIs" dxfId="549" priority="15" operator="notEqual">
      <formula>$T$46</formula>
    </cfRule>
    <cfRule type="cellIs" dxfId="548" priority="16" operator="equal">
      <formula>$T$46</formula>
    </cfRule>
  </conditionalFormatting>
  <conditionalFormatting sqref="U43">
    <cfRule type="cellIs" dxfId="547" priority="13" operator="notEqual">
      <formula>$U$46</formula>
    </cfRule>
    <cfRule type="cellIs" dxfId="546" priority="14" operator="equal">
      <formula>$U$46</formula>
    </cfRule>
  </conditionalFormatting>
  <conditionalFormatting sqref="V43">
    <cfRule type="cellIs" dxfId="545" priority="11" operator="notEqual">
      <formula>$V$46</formula>
    </cfRule>
    <cfRule type="cellIs" dxfId="544" priority="12" operator="equal">
      <formula>$V$46</formula>
    </cfRule>
  </conditionalFormatting>
  <conditionalFormatting sqref="W43">
    <cfRule type="cellIs" dxfId="543" priority="9" operator="notEqual">
      <formula>$W$46</formula>
    </cfRule>
    <cfRule type="cellIs" dxfId="542" priority="10" operator="equal">
      <formula>$W$46</formula>
    </cfRule>
  </conditionalFormatting>
  <conditionalFormatting sqref="X43">
    <cfRule type="cellIs" dxfId="541" priority="7" operator="notEqual">
      <formula>$X$46</formula>
    </cfRule>
    <cfRule type="cellIs" dxfId="540" priority="8" operator="equal">
      <formula>$X$46</formula>
    </cfRule>
  </conditionalFormatting>
  <conditionalFormatting sqref="Y43">
    <cfRule type="cellIs" dxfId="539" priority="5" operator="notEqual">
      <formula>$Y$46</formula>
    </cfRule>
    <cfRule type="cellIs" dxfId="538" priority="6" operator="equal">
      <formula>$Y$46</formula>
    </cfRule>
  </conditionalFormatting>
  <conditionalFormatting sqref="Z43">
    <cfRule type="cellIs" dxfId="537" priority="3" operator="notEqual">
      <formula>$Z$46</formula>
    </cfRule>
    <cfRule type="cellIs" dxfId="536" priority="4" operator="equal">
      <formula>$Z$46</formula>
    </cfRule>
  </conditionalFormatting>
  <conditionalFormatting sqref="AA43">
    <cfRule type="cellIs" dxfId="535" priority="1" operator="notEqual">
      <formula>$AA$46</formula>
    </cfRule>
    <cfRule type="cellIs" dxfId="534" priority="2" operator="equal">
      <formula>$AA$46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D9A9-E3B4-4F81-9837-E0372EDFE57C}">
  <dimension ref="A1:AV298"/>
  <sheetViews>
    <sheetView showGridLines="0" topLeftCell="AD1" workbookViewId="0">
      <selection activeCell="AV26" sqref="AV26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3.5546875" style="4" bestFit="1" customWidth="1"/>
    <col min="5" max="5" width="25.109375" style="4" bestFit="1" customWidth="1"/>
    <col min="6" max="6" width="11.4414062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0" width="7" style="6" bestFit="1" customWidth="1"/>
    <col min="11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23.33203125" style="4" bestFit="1" customWidth="1"/>
    <col min="29" max="29" width="24.6640625" style="4" bestFit="1" customWidth="1"/>
    <col min="30" max="30" width="22.5546875" style="4" bestFit="1" customWidth="1"/>
    <col min="31" max="31" width="24.109375" style="4" bestFit="1" customWidth="1"/>
    <col min="32" max="32" width="25.5546875" style="4" bestFit="1" customWidth="1"/>
    <col min="33" max="33" width="23.44140625" style="4" bestFit="1" customWidth="1"/>
    <col min="34" max="34" width="9.109375" style="4"/>
    <col min="35" max="35" width="9.33203125" style="4" bestFit="1" customWidth="1"/>
    <col min="36" max="36" width="14.5546875" style="4" bestFit="1" customWidth="1"/>
    <col min="37" max="37" width="15.44140625" style="4" bestFit="1" customWidth="1"/>
    <col min="38" max="38" width="9.33203125" style="4" bestFit="1" customWidth="1"/>
    <col min="39" max="39" width="9.109375" style="4"/>
    <col min="40" max="40" width="9.33203125" style="4" bestFit="1" customWidth="1"/>
    <col min="41" max="41" width="12.33203125" style="4" bestFit="1" customWidth="1"/>
    <col min="42" max="42" width="13.33203125" style="4" bestFit="1" customWidth="1"/>
    <col min="43" max="43" width="9.33203125" style="4" bestFit="1" customWidth="1"/>
    <col min="44" max="44" width="9.109375" style="4"/>
    <col min="45" max="45" width="9.33203125" style="4" bestFit="1" customWidth="1"/>
    <col min="46" max="46" width="10.88671875" style="4" bestFit="1" customWidth="1"/>
    <col min="47" max="47" width="11.33203125" style="4" bestFit="1" customWidth="1"/>
    <col min="48" max="48" width="9.33203125" style="4" bestFit="1" customWidth="1"/>
    <col min="49" max="16384" width="9.1093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I1" s="52" t="s">
        <v>57</v>
      </c>
      <c r="AJ1" s="52" t="s">
        <v>520</v>
      </c>
      <c r="AK1" s="52" t="s">
        <v>521</v>
      </c>
      <c r="AL1" s="52" t="s">
        <v>522</v>
      </c>
      <c r="AN1" s="52" t="s">
        <v>57</v>
      </c>
      <c r="AO1" s="52" t="s">
        <v>523</v>
      </c>
      <c r="AP1" s="52" t="s">
        <v>524</v>
      </c>
      <c r="AQ1" s="52" t="s">
        <v>522</v>
      </c>
      <c r="AS1" s="52" t="s">
        <v>57</v>
      </c>
      <c r="AT1" s="52" t="s">
        <v>525</v>
      </c>
      <c r="AU1" s="52" t="s">
        <v>526</v>
      </c>
      <c r="AV1" s="52" t="s">
        <v>522</v>
      </c>
    </row>
    <row r="2" spans="1:48" ht="11.25" customHeight="1" x14ac:dyDescent="0.3">
      <c r="A2" s="4" t="s">
        <v>21</v>
      </c>
      <c r="B2" s="4" t="s">
        <v>36</v>
      </c>
      <c r="C2" s="4" t="s">
        <v>37</v>
      </c>
      <c r="D2" s="4" t="s">
        <v>35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44287</v>
      </c>
      <c r="J2" s="6">
        <v>0</v>
      </c>
      <c r="K2" s="6">
        <v>0</v>
      </c>
      <c r="L2" s="6">
        <v>163.18199999999999</v>
      </c>
      <c r="M2" s="6">
        <v>163.18199999999999</v>
      </c>
      <c r="N2" s="6">
        <v>163.18199999999999</v>
      </c>
      <c r="O2" s="6">
        <v>163.18199999999999</v>
      </c>
      <c r="P2" s="6">
        <v>0</v>
      </c>
      <c r="Q2" s="4" t="s">
        <v>26</v>
      </c>
      <c r="R2" s="4">
        <v>0</v>
      </c>
      <c r="S2" s="6">
        <v>0</v>
      </c>
      <c r="T2" s="6">
        <v>84</v>
      </c>
      <c r="U2" s="6">
        <v>34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123.21</v>
      </c>
      <c r="X2" s="6">
        <f>IF(ISERROR(VLOOKUP($U$2,'TAR FIN'!$A$1:$O$85,15,0)),0,VLOOKUP($U$2,'TAR FIN'!$A$1:$O$85,15,0))</f>
        <v>201.73</v>
      </c>
      <c r="Y2" s="6"/>
      <c r="Z2" s="6">
        <f ca="1">('TUSD BE'!$AM$12+'TUSD BF'!$AM$12+'TUSD CVA'!$AM$12)*1</f>
        <v>135.58316981747089</v>
      </c>
      <c r="AA2" s="6">
        <f>('TE BE'!$AA$6+'TE BF'!$AA$6+'TE CVA'!$AA$6)*1</f>
        <v>225.7947898398177</v>
      </c>
      <c r="AB2" s="6">
        <f>$K$2*$V$2</f>
        <v>0</v>
      </c>
      <c r="AC2" s="6">
        <f>$M$2*$W$2</f>
        <v>20105.654219999997</v>
      </c>
      <c r="AD2" s="6">
        <f>$O$2*$X$2</f>
        <v>32918.704859999998</v>
      </c>
      <c r="AE2" s="6">
        <f>$K$2*$Y$2</f>
        <v>0</v>
      </c>
      <c r="AF2" s="6">
        <f ca="1">$M$2*$Z$2</f>
        <v>22124.732817154534</v>
      </c>
      <c r="AG2" s="6">
        <f>$O$2*$AA$2</f>
        <v>36845.645395641128</v>
      </c>
      <c r="AI2" s="53" t="s">
        <v>36</v>
      </c>
      <c r="AJ2" s="54">
        <f>SUMIF($B$2:$B$298,AI2,$AB$2:$AB$298)+SUMIF($B$2:$B$298,AI2,$AC$2:$AC$298)</f>
        <v>1668136.8474035999</v>
      </c>
      <c r="AK2" s="54">
        <f ca="1">SUMIF($B$2:$B$298,AI2,$AE$2:$AE$298)+SUMIF($B$2:$B$298,AI2,$AF$2:$AF$298)</f>
        <v>2110462.7088970728</v>
      </c>
      <c r="AL2" s="55">
        <f t="shared" ref="AL2:AL9" ca="1" si="0">IF(AJ2&lt;&gt;0,AK2/AJ2-1,0)</f>
        <v>0.26516161559642937</v>
      </c>
      <c r="AN2" s="53" t="s">
        <v>36</v>
      </c>
      <c r="AO2" s="54">
        <f>SUMIF($B$2:$B$298,AN2,$AD$2:$AD$298)</f>
        <v>540592.36637559999</v>
      </c>
      <c r="AP2" s="54">
        <f>SUMIF($B$2:$B$298,AN2,$AG$2:$AG$298)</f>
        <v>605867.67673784762</v>
      </c>
      <c r="AQ2" s="55">
        <f t="shared" ref="AQ2:AQ9" si="1">IF(AO2&lt;&gt;0,AP2/AO2-1,0)</f>
        <v>0.12074774714242786</v>
      </c>
      <c r="AS2" s="53" t="s">
        <v>36</v>
      </c>
      <c r="AT2" s="54">
        <f>SUMIF($B$2:$B$298,AS2,$AB$2:$AB$298)+SUMIF($B$2:$B$298,AS2,$AC$2:$AC$298)+SUMIF($B$2:$B$298,AS2,$AD$2:$AD$298)</f>
        <v>2208729.2137791999</v>
      </c>
      <c r="AU2" s="54">
        <f ca="1">SUMIF($B$2:$B$298,AS2,$AE$2:$AE$298)+SUMIF($B$2:$B$298,AS2,$AF$2:$AF$298)+SUMIF($B$2:$B$298,AS2,$AG$2:$AG$298)</f>
        <v>2716330.3856349206</v>
      </c>
      <c r="AV2" s="55">
        <f t="shared" ref="AV2:AV9" ca="1" si="2">IF(AT2&lt;&gt;0,AU2/AT2-1,0)</f>
        <v>0.22981593609983553</v>
      </c>
    </row>
    <row r="3" spans="1:48" ht="11.25" customHeight="1" x14ac:dyDescent="0.3">
      <c r="A3" s="4" t="s">
        <v>21</v>
      </c>
      <c r="B3" s="4" t="s">
        <v>36</v>
      </c>
      <c r="C3" s="4" t="s">
        <v>37</v>
      </c>
      <c r="D3" s="4" t="s">
        <v>35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44317</v>
      </c>
      <c r="J3" s="6">
        <v>0</v>
      </c>
      <c r="K3" s="6">
        <v>0</v>
      </c>
      <c r="L3" s="6">
        <v>164.11099999999999</v>
      </c>
      <c r="M3" s="6">
        <v>164.11099999999999</v>
      </c>
      <c r="N3" s="6">
        <v>164.11099999999999</v>
      </c>
      <c r="O3" s="6">
        <v>164.11099999999999</v>
      </c>
      <c r="P3" s="6">
        <v>0</v>
      </c>
      <c r="Q3" s="4" t="s">
        <v>26</v>
      </c>
      <c r="R3" s="4">
        <v>0</v>
      </c>
      <c r="S3" s="6">
        <v>0</v>
      </c>
      <c r="T3" s="6">
        <v>84</v>
      </c>
      <c r="U3" s="6">
        <v>34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123.21</v>
      </c>
      <c r="X3" s="6">
        <f>IF(ISERROR(VLOOKUP($U$3,'TAR FIN'!$A$1:$O$85,15,0)),0,VLOOKUP($U$3,'TAR FIN'!$A$1:$O$85,15,0))</f>
        <v>201.73</v>
      </c>
      <c r="Y3" s="6"/>
      <c r="Z3" s="6">
        <f ca="1">('TUSD BE'!$AM$12+'TUSD BF'!$AM$12+'TUSD CVA'!$AM$12)*1</f>
        <v>135.58316981747089</v>
      </c>
      <c r="AA3" s="6">
        <f>('TE BE'!$AA$6+'TE BF'!$AA$6+'TE CVA'!$AA$6)*1</f>
        <v>225.7947898398177</v>
      </c>
      <c r="AB3" s="6">
        <f>$K$3*$V$3</f>
        <v>0</v>
      </c>
      <c r="AC3" s="6">
        <f>$M$3*$W$3</f>
        <v>20220.116309999998</v>
      </c>
      <c r="AD3" s="6">
        <f>$O$3*$X$3</f>
        <v>33106.112029999997</v>
      </c>
      <c r="AE3" s="6">
        <f>$K$3*$Y$3</f>
        <v>0</v>
      </c>
      <c r="AF3" s="6">
        <f ca="1">$M$3*$Z$3</f>
        <v>22250.689581914965</v>
      </c>
      <c r="AG3" s="6">
        <f>$O$3*$AA$3</f>
        <v>37055.408755402321</v>
      </c>
      <c r="AI3" s="53" t="s">
        <v>22</v>
      </c>
      <c r="AJ3" s="54">
        <f>SUMIF($B$2:$B$298,AI3,$AB$2:$AB$298)+SUMIF($B$2:$B$298,AI3,$AC$2:$AC$298)</f>
        <v>7235536.7104999982</v>
      </c>
      <c r="AK3" s="54">
        <f ca="1">SUMIF($B$2:$B$298,AI3,$AE$2:$AE$298)+SUMIF($B$2:$B$298,AI3,$AF$2:$AF$298)</f>
        <v>9194132.0437576417</v>
      </c>
      <c r="AL3" s="55">
        <f t="shared" ca="1" si="0"/>
        <v>0.27069109198428754</v>
      </c>
      <c r="AN3" s="53" t="s">
        <v>22</v>
      </c>
      <c r="AO3" s="54">
        <f>SUMIF($B$2:$B$298,AN3,$AD$2:$AD$298)</f>
        <v>1776142.4329200005</v>
      </c>
      <c r="AP3" s="54">
        <f>SUMIF($B$2:$B$298,AN3,$AG$2:$AG$298)</f>
        <v>1988021.584622605</v>
      </c>
      <c r="AQ3" s="55">
        <f t="shared" si="1"/>
        <v>0.1192917571110963</v>
      </c>
      <c r="AS3" s="53" t="s">
        <v>22</v>
      </c>
      <c r="AT3" s="54">
        <f>SUMIF($B$2:$B$298,AS3,$AB$2:$AB$298)+SUMIF($B$2:$B$298,AS3,$AC$2:$AC$298)+SUMIF($B$2:$B$298,AS3,$AD$2:$AD$298)</f>
        <v>9011679.1434199996</v>
      </c>
      <c r="AU3" s="54">
        <f ca="1">SUMIF($B$2:$B$298,AS3,$AE$2:$AE$298)+SUMIF($B$2:$B$298,AS3,$AF$2:$AF$298)+SUMIF($B$2:$B$298,AS3,$AG$2:$AG$298)</f>
        <v>11182153.628380246</v>
      </c>
      <c r="AV3" s="55">
        <f t="shared" ca="1" si="2"/>
        <v>0.24085128314239279</v>
      </c>
    </row>
    <row r="4" spans="1:48" ht="11.25" customHeight="1" x14ac:dyDescent="0.3">
      <c r="A4" s="4" t="s">
        <v>21</v>
      </c>
      <c r="B4" s="4" t="s">
        <v>36</v>
      </c>
      <c r="C4" s="4" t="s">
        <v>37</v>
      </c>
      <c r="D4" s="4" t="s">
        <v>35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44348</v>
      </c>
      <c r="J4" s="6">
        <v>0</v>
      </c>
      <c r="K4" s="6">
        <v>0</v>
      </c>
      <c r="L4" s="6">
        <v>159.97999999999999</v>
      </c>
      <c r="M4" s="6">
        <v>159.97999999999999</v>
      </c>
      <c r="N4" s="6">
        <v>159.97999999999999</v>
      </c>
      <c r="O4" s="6">
        <v>159.97999999999999</v>
      </c>
      <c r="P4" s="6">
        <v>0</v>
      </c>
      <c r="Q4" s="4" t="s">
        <v>26</v>
      </c>
      <c r="R4" s="4">
        <v>0</v>
      </c>
      <c r="S4" s="6">
        <v>0</v>
      </c>
      <c r="T4" s="6">
        <v>84</v>
      </c>
      <c r="U4" s="6">
        <v>34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123.21</v>
      </c>
      <c r="X4" s="6">
        <f>IF(ISERROR(VLOOKUP($U$4,'TAR FIN'!$A$1:$O$85,15,0)),0,VLOOKUP($U$4,'TAR FIN'!$A$1:$O$85,15,0))</f>
        <v>201.73</v>
      </c>
      <c r="Y4" s="6"/>
      <c r="Z4" s="6">
        <f ca="1">('TUSD BE'!$AM$12+'TUSD BF'!$AM$12+'TUSD CVA'!$AM$12)*1</f>
        <v>135.58316981747089</v>
      </c>
      <c r="AA4" s="6">
        <f>('TE BE'!$AA$6+'TE BF'!$AA$6+'TE CVA'!$AA$6)*1</f>
        <v>225.7947898398177</v>
      </c>
      <c r="AB4" s="6">
        <f>$K$4*$V$4</f>
        <v>0</v>
      </c>
      <c r="AC4" s="6">
        <f>$M$4*$W$4</f>
        <v>19711.135799999996</v>
      </c>
      <c r="AD4" s="6">
        <f>$O$4*$X$4</f>
        <v>32272.765399999997</v>
      </c>
      <c r="AE4" s="6">
        <f>$K$4*$Y$4</f>
        <v>0</v>
      </c>
      <c r="AF4" s="6">
        <f ca="1">$M$4*$Z$4</f>
        <v>21690.59550739899</v>
      </c>
      <c r="AG4" s="6">
        <f>$O$4*$AA$4</f>
        <v>36122.650478574033</v>
      </c>
      <c r="AI4" s="53" t="s">
        <v>40</v>
      </c>
      <c r="AJ4" s="54">
        <f>SUMIF($B$2:$B$298,AI4,$AB$2:$AB$298)+SUMIF($B$2:$B$298,AI4,$AC$2:$AC$298)</f>
        <v>1099031.8250400003</v>
      </c>
      <c r="AK4" s="54">
        <f ca="1">SUMIF($B$2:$B$298,AI4,$AE$2:$AE$298)+SUMIF($B$2:$B$298,AI4,$AF$2:$AF$298)</f>
        <v>1491396.7657649748</v>
      </c>
      <c r="AL4" s="55">
        <f t="shared" ca="1" si="0"/>
        <v>0.35700962591387553</v>
      </c>
      <c r="AN4" s="53" t="s">
        <v>40</v>
      </c>
      <c r="AO4" s="54">
        <f>SUMIF($B$2:$B$298,AN4,$AD$2:$AD$298)</f>
        <v>269159.62408000004</v>
      </c>
      <c r="AP4" s="54">
        <f>SUMIF($B$2:$B$298,AN4,$AG$2:$AG$298)</f>
        <v>321795.47291926685</v>
      </c>
      <c r="AQ4" s="55">
        <f t="shared" si="1"/>
        <v>0.19555625781236152</v>
      </c>
      <c r="AS4" s="53" t="s">
        <v>40</v>
      </c>
      <c r="AT4" s="54">
        <f>SUMIF($B$2:$B$298,AS4,$AB$2:$AB$298)+SUMIF($B$2:$B$298,AS4,$AC$2:$AC$298)+SUMIF($B$2:$B$298,AS4,$AD$2:$AD$298)</f>
        <v>1368191.4491200002</v>
      </c>
      <c r="AU4" s="54">
        <f ca="1">SUMIF($B$2:$B$298,AS4,$AE$2:$AE$298)+SUMIF($B$2:$B$298,AS4,$AF$2:$AF$298)+SUMIF($B$2:$B$298,AS4,$AG$2:$AG$298)</f>
        <v>1813192.2386842417</v>
      </c>
      <c r="AV4" s="55">
        <f t="shared" ca="1" si="2"/>
        <v>0.32524745703567959</v>
      </c>
    </row>
    <row r="5" spans="1:48" ht="11.25" customHeight="1" x14ac:dyDescent="0.3">
      <c r="A5" s="4" t="s">
        <v>21</v>
      </c>
      <c r="B5" s="4" t="s">
        <v>36</v>
      </c>
      <c r="C5" s="4" t="s">
        <v>37</v>
      </c>
      <c r="D5" s="4" t="s">
        <v>35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44378</v>
      </c>
      <c r="J5" s="6">
        <v>0</v>
      </c>
      <c r="K5" s="6">
        <v>0</v>
      </c>
      <c r="L5" s="6">
        <v>182.959</v>
      </c>
      <c r="M5" s="6">
        <v>182.959</v>
      </c>
      <c r="N5" s="6">
        <v>182.959</v>
      </c>
      <c r="O5" s="6">
        <v>182.959</v>
      </c>
      <c r="P5" s="6">
        <v>0</v>
      </c>
      <c r="Q5" s="4" t="s">
        <v>26</v>
      </c>
      <c r="R5" s="4">
        <v>0</v>
      </c>
      <c r="S5" s="6">
        <v>0</v>
      </c>
      <c r="T5" s="6">
        <v>84</v>
      </c>
      <c r="U5" s="6">
        <v>34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123.21</v>
      </c>
      <c r="X5" s="6">
        <f>IF(ISERROR(VLOOKUP($U$5,'TAR FIN'!$A$1:$O$85,15,0)),0,VLOOKUP($U$5,'TAR FIN'!$A$1:$O$85,15,0))</f>
        <v>201.73</v>
      </c>
      <c r="Y5" s="6"/>
      <c r="Z5" s="6">
        <f ca="1">('TUSD BE'!$AM$12+'TUSD BF'!$AM$12+'TUSD CVA'!$AM$12)*1</f>
        <v>135.58316981747089</v>
      </c>
      <c r="AA5" s="6">
        <f>('TE BE'!$AA$6+'TE BF'!$AA$6+'TE CVA'!$AA$6)*1</f>
        <v>225.7947898398177</v>
      </c>
      <c r="AB5" s="6">
        <f>$K$5*$V$5</f>
        <v>0</v>
      </c>
      <c r="AC5" s="6">
        <f>$M$5*$W$5</f>
        <v>22542.378389999998</v>
      </c>
      <c r="AD5" s="6">
        <f>$O$5*$X$5</f>
        <v>36908.319069999998</v>
      </c>
      <c r="AE5" s="6">
        <f>$K$5*$Y$5</f>
        <v>0</v>
      </c>
      <c r="AF5" s="6">
        <f ca="1">$M$5*$Z$5</f>
        <v>24806.161166634658</v>
      </c>
      <c r="AG5" s="6">
        <f>$O$5*$AA$5</f>
        <v>41311.188954303208</v>
      </c>
      <c r="AI5" s="53" t="s">
        <v>33</v>
      </c>
      <c r="AJ5" s="54">
        <f>SUMIF($B$2:$B$298,AI5,$AB$2:$AB$298)+SUMIF($B$2:$B$298,AI5,$AC$2:$AC$298)</f>
        <v>5365073.0692140022</v>
      </c>
      <c r="AK5" s="54">
        <f ca="1">SUMIF($B$2:$B$298,AI5,$AE$2:$AE$298)+SUMIF($B$2:$B$298,AI5,$AF$2:$AF$298)</f>
        <v>6818558.9439447736</v>
      </c>
      <c r="AL5" s="55">
        <f t="shared" ca="1" si="0"/>
        <v>0.27091632415431599</v>
      </c>
      <c r="AN5" s="53" t="s">
        <v>33</v>
      </c>
      <c r="AO5" s="54">
        <f>SUMIF($B$2:$B$298,AN5,$AD$2:$AD$298)</f>
        <v>1313880.8243530006</v>
      </c>
      <c r="AP5" s="54">
        <f>SUMIF($B$2:$B$298,AN5,$AG$2:$AG$298)</f>
        <v>1471225.8001103792</v>
      </c>
      <c r="AQ5" s="55">
        <f t="shared" si="1"/>
        <v>0.11975589630426375</v>
      </c>
      <c r="AS5" s="53" t="s">
        <v>33</v>
      </c>
      <c r="AT5" s="54">
        <f>SUMIF($B$2:$B$298,AS5,$AB$2:$AB$298)+SUMIF($B$2:$B$298,AS5,$AC$2:$AC$298)+SUMIF($B$2:$B$298,AS5,$AD$2:$AD$298)</f>
        <v>6678953.8935670033</v>
      </c>
      <c r="AU5" s="54">
        <f ca="1">SUMIF($B$2:$B$298,AS5,$AE$2:$AE$298)+SUMIF($B$2:$B$298,AS5,$AF$2:$AF$298)+SUMIF($B$2:$B$298,AS5,$AG$2:$AG$298)</f>
        <v>8289784.7440551529</v>
      </c>
      <c r="AV5" s="55">
        <f t="shared" ca="1" si="2"/>
        <v>0.24118011235856263</v>
      </c>
    </row>
    <row r="6" spans="1:48" ht="11.25" customHeight="1" x14ac:dyDescent="0.3">
      <c r="A6" s="4" t="s">
        <v>21</v>
      </c>
      <c r="B6" s="4" t="s">
        <v>36</v>
      </c>
      <c r="C6" s="4" t="s">
        <v>37</v>
      </c>
      <c r="D6" s="4" t="s">
        <v>35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44409</v>
      </c>
      <c r="J6" s="6">
        <v>0</v>
      </c>
      <c r="K6" s="6">
        <v>0</v>
      </c>
      <c r="L6" s="6">
        <v>167.11099999999999</v>
      </c>
      <c r="M6" s="6">
        <v>167.11099999999999</v>
      </c>
      <c r="N6" s="6">
        <v>167.11099999999999</v>
      </c>
      <c r="O6" s="6">
        <v>167.11099999999999</v>
      </c>
      <c r="P6" s="6">
        <v>0</v>
      </c>
      <c r="Q6" s="4" t="s">
        <v>26</v>
      </c>
      <c r="R6" s="4">
        <v>0</v>
      </c>
      <c r="S6" s="6">
        <v>0</v>
      </c>
      <c r="T6" s="6">
        <v>84</v>
      </c>
      <c r="U6" s="6">
        <v>34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123.21</v>
      </c>
      <c r="X6" s="6">
        <f>IF(ISERROR(VLOOKUP($U$6,'TAR FIN'!$A$1:$O$85,15,0)),0,VLOOKUP($U$6,'TAR FIN'!$A$1:$O$85,15,0))</f>
        <v>201.73</v>
      </c>
      <c r="Y6" s="6"/>
      <c r="Z6" s="6">
        <f ca="1">('TUSD BE'!$AM$12+'TUSD BF'!$AM$12+'TUSD CVA'!$AM$12)*1</f>
        <v>135.58316981747089</v>
      </c>
      <c r="AA6" s="6">
        <f>('TE BE'!$AA$6+'TE BF'!$AA$6+'TE CVA'!$AA$6)*1</f>
        <v>225.7947898398177</v>
      </c>
      <c r="AB6" s="6">
        <f>$K$6*$V$6</f>
        <v>0</v>
      </c>
      <c r="AC6" s="6">
        <f>$M$6*$W$6</f>
        <v>20589.746309999999</v>
      </c>
      <c r="AD6" s="6">
        <f>$O$6*$X$6</f>
        <v>33711.302029999999</v>
      </c>
      <c r="AE6" s="6">
        <f>$K$6*$Y$6</f>
        <v>0</v>
      </c>
      <c r="AF6" s="6">
        <f ca="1">$M$6*$Z$6</f>
        <v>22657.439091367378</v>
      </c>
      <c r="AG6" s="6">
        <f>$O$6*$AA$6</f>
        <v>37732.793124921773</v>
      </c>
      <c r="AI6" s="53" t="s">
        <v>43</v>
      </c>
      <c r="AJ6" s="54">
        <f>SUMIF($B$2:$B$298,AI6,$AB$2:$AB$298)+SUMIF($B$2:$B$298,AI6,$AC$2:$AC$298)</f>
        <v>290719.05857999995</v>
      </c>
      <c r="AK6" s="54">
        <f ca="1">SUMIF($B$2:$B$298,AI6,$AE$2:$AE$298)+SUMIF($B$2:$B$298,AI6,$AF$2:$AF$298)</f>
        <v>369328.41313021851</v>
      </c>
      <c r="AL6" s="55">
        <f t="shared" ca="1" si="0"/>
        <v>0.2703962888920366</v>
      </c>
      <c r="AN6" s="53" t="s">
        <v>43</v>
      </c>
      <c r="AO6" s="54">
        <f>SUMIF($B$2:$B$298,AN6,$AD$2:$AD$298)</f>
        <v>71198.134919999997</v>
      </c>
      <c r="AP6" s="54">
        <f>SUMIF($B$2:$B$298,AN6,$AG$2:$AG$298)</f>
        <v>79689.197465035963</v>
      </c>
      <c r="AQ6" s="55">
        <f t="shared" si="1"/>
        <v>0.11925962041810134</v>
      </c>
      <c r="AS6" s="53" t="s">
        <v>43</v>
      </c>
      <c r="AT6" s="54">
        <f>SUMIF($B$2:$B$298,AS6,$AB$2:$AB$298)+SUMIF($B$2:$B$298,AS6,$AC$2:$AC$298)+SUMIF($B$2:$B$298,AS6,$AD$2:$AD$298)</f>
        <v>361917.19349999994</v>
      </c>
      <c r="AU6" s="54">
        <f ca="1">SUMIF($B$2:$B$298,AS6,$AE$2:$AE$298)+SUMIF($B$2:$B$298,AS6,$AF$2:$AF$298)+SUMIF($B$2:$B$298,AS6,$AG$2:$AG$298)</f>
        <v>449017.61059525446</v>
      </c>
      <c r="AV6" s="55">
        <f t="shared" ca="1" si="2"/>
        <v>0.24066393821451459</v>
      </c>
    </row>
    <row r="7" spans="1:48" ht="11.25" customHeight="1" x14ac:dyDescent="0.3">
      <c r="A7" s="4" t="s">
        <v>21</v>
      </c>
      <c r="B7" s="4" t="s">
        <v>36</v>
      </c>
      <c r="C7" s="4" t="s">
        <v>37</v>
      </c>
      <c r="D7" s="4" t="s">
        <v>35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44440</v>
      </c>
      <c r="J7" s="6">
        <v>0</v>
      </c>
      <c r="K7" s="6">
        <v>0</v>
      </c>
      <c r="L7" s="6">
        <v>181.792</v>
      </c>
      <c r="M7" s="6">
        <v>181.792</v>
      </c>
      <c r="N7" s="6">
        <v>181.792</v>
      </c>
      <c r="O7" s="6">
        <v>181.792</v>
      </c>
      <c r="P7" s="6">
        <v>0</v>
      </c>
      <c r="Q7" s="4" t="s">
        <v>26</v>
      </c>
      <c r="R7" s="4">
        <v>0</v>
      </c>
      <c r="S7" s="6">
        <v>0</v>
      </c>
      <c r="T7" s="6">
        <v>84</v>
      </c>
      <c r="U7" s="6">
        <v>34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123.21</v>
      </c>
      <c r="X7" s="6">
        <f>IF(ISERROR(VLOOKUP($U$7,'TAR FIN'!$A$1:$O$85,15,0)),0,VLOOKUP($U$7,'TAR FIN'!$A$1:$O$85,15,0))</f>
        <v>201.73</v>
      </c>
      <c r="Y7" s="6"/>
      <c r="Z7" s="6">
        <f ca="1">('TUSD BE'!$AM$12+'TUSD BF'!$AM$12+'TUSD CVA'!$AM$12)*1</f>
        <v>135.58316981747089</v>
      </c>
      <c r="AA7" s="6">
        <f>('TE BE'!$AA$6+'TE BF'!$AA$6+'TE CVA'!$AA$6)*1</f>
        <v>225.7947898398177</v>
      </c>
      <c r="AB7" s="6">
        <f>$K$7*$V$7</f>
        <v>0</v>
      </c>
      <c r="AC7" s="6">
        <f>$M$7*$W$7</f>
        <v>22398.59232</v>
      </c>
      <c r="AD7" s="6">
        <f>$O$7*$X$7</f>
        <v>36672.900159999997</v>
      </c>
      <c r="AE7" s="6">
        <f>$K$7*$Y$7</f>
        <v>0</v>
      </c>
      <c r="AF7" s="6">
        <f ca="1">$M$7*$Z$7</f>
        <v>24647.935607457668</v>
      </c>
      <c r="AG7" s="6">
        <f>$O$7*$AA$7</f>
        <v>41047.686434560143</v>
      </c>
      <c r="AI7" s="53" t="s">
        <v>527</v>
      </c>
      <c r="AJ7" s="54">
        <f>+$AJ$2</f>
        <v>1668136.8474035999</v>
      </c>
      <c r="AK7" s="54">
        <f ca="1">+$AK$2</f>
        <v>2110462.7088970728</v>
      </c>
      <c r="AL7" s="55">
        <f t="shared" ca="1" si="0"/>
        <v>0.26516161559642937</v>
      </c>
      <c r="AN7" s="53" t="s">
        <v>527</v>
      </c>
      <c r="AO7" s="54">
        <f>+$AO$2</f>
        <v>540592.36637559999</v>
      </c>
      <c r="AP7" s="54">
        <f>+$AP$2</f>
        <v>605867.67673784762</v>
      </c>
      <c r="AQ7" s="55">
        <f t="shared" si="1"/>
        <v>0.12074774714242786</v>
      </c>
      <c r="AS7" s="53" t="s">
        <v>527</v>
      </c>
      <c r="AT7" s="54">
        <f>+$AT$2</f>
        <v>2208729.2137791999</v>
      </c>
      <c r="AU7" s="54">
        <f ca="1">+$AU$2</f>
        <v>2716330.3856349206</v>
      </c>
      <c r="AV7" s="55">
        <f t="shared" ca="1" si="2"/>
        <v>0.22981593609983553</v>
      </c>
    </row>
    <row r="8" spans="1:48" ht="11.25" customHeight="1" x14ac:dyDescent="0.3">
      <c r="A8" s="4" t="s">
        <v>21</v>
      </c>
      <c r="B8" s="4" t="s">
        <v>36</v>
      </c>
      <c r="C8" s="4" t="s">
        <v>37</v>
      </c>
      <c r="D8" s="4" t="s">
        <v>35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44470</v>
      </c>
      <c r="J8" s="6">
        <v>0</v>
      </c>
      <c r="K8" s="6">
        <v>0</v>
      </c>
      <c r="L8" s="6">
        <v>189.65</v>
      </c>
      <c r="M8" s="6">
        <v>189.65</v>
      </c>
      <c r="N8" s="6">
        <v>189.65</v>
      </c>
      <c r="O8" s="6">
        <v>189.65</v>
      </c>
      <c r="P8" s="6">
        <v>0</v>
      </c>
      <c r="Q8" s="4" t="s">
        <v>26</v>
      </c>
      <c r="R8" s="4">
        <v>0</v>
      </c>
      <c r="S8" s="6">
        <v>0</v>
      </c>
      <c r="T8" s="6">
        <v>84</v>
      </c>
      <c r="U8" s="6">
        <v>34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123.21</v>
      </c>
      <c r="X8" s="6">
        <f>IF(ISERROR(VLOOKUP($U$8,'TAR FIN'!$A$1:$O$85,15,0)),0,VLOOKUP($U$8,'TAR FIN'!$A$1:$O$85,15,0))</f>
        <v>201.73</v>
      </c>
      <c r="Y8" s="6"/>
      <c r="Z8" s="6">
        <f ca="1">('TUSD BE'!$AM$12+'TUSD BF'!$AM$12+'TUSD CVA'!$AM$12)*1</f>
        <v>135.58316981747089</v>
      </c>
      <c r="AA8" s="6">
        <f>('TE BE'!$AA$6+'TE BF'!$AA$6+'TE CVA'!$AA$6)*1</f>
        <v>225.7947898398177</v>
      </c>
      <c r="AB8" s="6">
        <f>$K$8*$V$8</f>
        <v>0</v>
      </c>
      <c r="AC8" s="6">
        <f>$M$8*$W$8</f>
        <v>23366.7765</v>
      </c>
      <c r="AD8" s="6">
        <f>$O$8*$X$8</f>
        <v>38258.094499999999</v>
      </c>
      <c r="AE8" s="6">
        <f>$K$8*$Y$8</f>
        <v>0</v>
      </c>
      <c r="AF8" s="6">
        <f ca="1">$M$8*$Z$8</f>
        <v>25713.348155883356</v>
      </c>
      <c r="AG8" s="6">
        <f>$O$8*$AA$8</f>
        <v>42821.981893121425</v>
      </c>
      <c r="AI8" s="53" t="s">
        <v>77</v>
      </c>
      <c r="AJ8" s="54">
        <f>+$AJ$3+$AJ$4+$AJ$5+$AJ$6</f>
        <v>13990360.663334001</v>
      </c>
      <c r="AK8" s="54">
        <f ca="1">+$AK$3+$AK$4+$AK$5+$AK$6</f>
        <v>17873416.166597608</v>
      </c>
      <c r="AL8" s="55">
        <f t="shared" ca="1" si="0"/>
        <v>0.27755220874615016</v>
      </c>
      <c r="AN8" s="53" t="s">
        <v>77</v>
      </c>
      <c r="AO8" s="54">
        <f>+$AO$3+$AO$4+$AO$5+$AO$6</f>
        <v>3430381.0162730012</v>
      </c>
      <c r="AP8" s="54">
        <f>+$AP$3+$AP$4+$AP$5+$AP$6</f>
        <v>3860732.0551172872</v>
      </c>
      <c r="AQ8" s="55">
        <f t="shared" si="1"/>
        <v>0.12545283943759933</v>
      </c>
      <c r="AS8" s="53" t="s">
        <v>77</v>
      </c>
      <c r="AT8" s="54">
        <f>+$AT$3+$AT$4+$AT$5+$AT$6</f>
        <v>17420741.679607004</v>
      </c>
      <c r="AU8" s="54">
        <f ca="1">+$AU$3+$AU$4+$AU$5+$AU$6</f>
        <v>21734148.221714895</v>
      </c>
      <c r="AV8" s="55">
        <f t="shared" ca="1" si="2"/>
        <v>0.24760177387609361</v>
      </c>
    </row>
    <row r="9" spans="1:48" ht="11.25" customHeight="1" x14ac:dyDescent="0.3">
      <c r="A9" s="4" t="s">
        <v>21</v>
      </c>
      <c r="B9" s="4" t="s">
        <v>36</v>
      </c>
      <c r="C9" s="4" t="s">
        <v>37</v>
      </c>
      <c r="D9" s="4" t="s">
        <v>35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44501</v>
      </c>
      <c r="J9" s="6">
        <v>0</v>
      </c>
      <c r="K9" s="6">
        <v>0</v>
      </c>
      <c r="L9" s="6">
        <v>192.94900000000001</v>
      </c>
      <c r="M9" s="6">
        <v>192.94900000000001</v>
      </c>
      <c r="N9" s="6">
        <v>192.94900000000001</v>
      </c>
      <c r="O9" s="6">
        <v>192.94900000000001</v>
      </c>
      <c r="P9" s="6">
        <v>0</v>
      </c>
      <c r="Q9" s="4" t="s">
        <v>26</v>
      </c>
      <c r="R9" s="4">
        <v>0</v>
      </c>
      <c r="S9" s="6">
        <v>0</v>
      </c>
      <c r="T9" s="6">
        <v>84</v>
      </c>
      <c r="U9" s="6">
        <v>34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123.21</v>
      </c>
      <c r="X9" s="6">
        <f>IF(ISERROR(VLOOKUP($U$9,'TAR FIN'!$A$1:$O$85,15,0)),0,VLOOKUP($U$9,'TAR FIN'!$A$1:$O$85,15,0))</f>
        <v>201.73</v>
      </c>
      <c r="Y9" s="6"/>
      <c r="Z9" s="6">
        <f ca="1">('TUSD BE'!$AM$12+'TUSD BF'!$AM$12+'TUSD CVA'!$AM$12)*1</f>
        <v>135.58316981747089</v>
      </c>
      <c r="AA9" s="6">
        <f>('TE BE'!$AA$6+'TE BF'!$AA$6+'TE CVA'!$AA$6)*1</f>
        <v>225.7947898398177</v>
      </c>
      <c r="AB9" s="6">
        <f>$K$9*$V$9</f>
        <v>0</v>
      </c>
      <c r="AC9" s="6">
        <f>$M$9*$W$9</f>
        <v>23773.246289999999</v>
      </c>
      <c r="AD9" s="6">
        <f>$O$9*$X$9</f>
        <v>38923.601770000001</v>
      </c>
      <c r="AE9" s="6">
        <f>$K$9*$Y$9</f>
        <v>0</v>
      </c>
      <c r="AF9" s="6">
        <f ca="1">$M$9*$Z$9</f>
        <v>26160.637033111194</v>
      </c>
      <c r="AG9" s="6">
        <f>$O$9*$AA$9</f>
        <v>43566.878904802987</v>
      </c>
      <c r="AI9" s="53" t="s">
        <v>528</v>
      </c>
      <c r="AJ9" s="54">
        <f>AJ8+AJ7</f>
        <v>15658497.510737602</v>
      </c>
      <c r="AK9" s="54">
        <f ca="1">AK8+AK7</f>
        <v>19983878.875494681</v>
      </c>
      <c r="AL9" s="55">
        <f t="shared" ca="1" si="0"/>
        <v>0.27623220949462168</v>
      </c>
      <c r="AN9" s="53" t="s">
        <v>528</v>
      </c>
      <c r="AO9" s="54">
        <f>AO8+AO7</f>
        <v>3970973.3826486012</v>
      </c>
      <c r="AP9" s="54">
        <f>AP8+AP7</f>
        <v>4466599.7318551345</v>
      </c>
      <c r="AQ9" s="55">
        <f t="shared" si="1"/>
        <v>0.1248123070711582</v>
      </c>
      <c r="AS9" s="53" t="s">
        <v>528</v>
      </c>
      <c r="AT9" s="54">
        <f>AT8+AT7</f>
        <v>19629470.893386204</v>
      </c>
      <c r="AU9" s="54">
        <f ca="1">AU8+AU7</f>
        <v>24450478.607349817</v>
      </c>
      <c r="AV9" s="55">
        <f t="shared" ca="1" si="2"/>
        <v>0.24560049224698988</v>
      </c>
    </row>
    <row r="10" spans="1:48" ht="11.25" customHeight="1" x14ac:dyDescent="0.3">
      <c r="A10" s="4" t="s">
        <v>21</v>
      </c>
      <c r="B10" s="4" t="s">
        <v>36</v>
      </c>
      <c r="C10" s="4" t="s">
        <v>37</v>
      </c>
      <c r="D10" s="4" t="s">
        <v>35</v>
      </c>
      <c r="E10" s="4" t="s">
        <v>25</v>
      </c>
      <c r="F10" s="4" t="s">
        <v>25</v>
      </c>
      <c r="G10" s="4" t="s">
        <v>25</v>
      </c>
      <c r="H10" s="4" t="s">
        <v>39</v>
      </c>
      <c r="I10" s="5">
        <v>44531</v>
      </c>
      <c r="J10" s="6">
        <v>0</v>
      </c>
      <c r="K10" s="6">
        <v>0</v>
      </c>
      <c r="L10" s="6">
        <v>218.02699999999999</v>
      </c>
      <c r="M10" s="6">
        <v>218.02699999999999</v>
      </c>
      <c r="N10" s="6">
        <v>218.02699999999999</v>
      </c>
      <c r="O10" s="6">
        <v>218.02699999999999</v>
      </c>
      <c r="P10" s="6">
        <v>0</v>
      </c>
      <c r="Q10" s="4" t="s">
        <v>26</v>
      </c>
      <c r="R10" s="4">
        <v>0</v>
      </c>
      <c r="S10" s="6">
        <v>0</v>
      </c>
      <c r="T10" s="6">
        <v>84</v>
      </c>
      <c r="U10" s="6">
        <v>34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123.21</v>
      </c>
      <c r="X10" s="6">
        <f>IF(ISERROR(VLOOKUP($U$10,'TAR FIN'!$A$1:$O$85,15,0)),0,VLOOKUP($U$10,'TAR FIN'!$A$1:$O$85,15,0))</f>
        <v>201.73</v>
      </c>
      <c r="Y10" s="6"/>
      <c r="Z10" s="6">
        <f ca="1">('TUSD BE'!$AM$12+'TUSD BF'!$AM$12+'TUSD CVA'!$AM$12)*1</f>
        <v>135.58316981747089</v>
      </c>
      <c r="AA10" s="6">
        <f>('TE BE'!$AA$6+'TE BF'!$AA$6+'TE CVA'!$AA$6)*1</f>
        <v>225.7947898398177</v>
      </c>
      <c r="AB10" s="6">
        <f>$K$10*$V$10</f>
        <v>0</v>
      </c>
      <c r="AC10" s="6">
        <f>$M$10*$W$10</f>
        <v>26863.106669999997</v>
      </c>
      <c r="AD10" s="6">
        <f>$O$10*$X$10</f>
        <v>43982.586709999996</v>
      </c>
      <c r="AE10" s="6">
        <f>$K$10*$Y$10</f>
        <v>0</v>
      </c>
      <c r="AF10" s="6">
        <f ca="1">$M$10*$Z$10</f>
        <v>29560.791765793725</v>
      </c>
      <c r="AG10" s="6">
        <f>$O$10*$AA$10</f>
        <v>49229.360644405933</v>
      </c>
    </row>
    <row r="11" spans="1:48" ht="11.25" customHeight="1" x14ac:dyDescent="0.3">
      <c r="A11" s="4" t="s">
        <v>21</v>
      </c>
      <c r="B11" s="4" t="s">
        <v>36</v>
      </c>
      <c r="C11" s="4" t="s">
        <v>37</v>
      </c>
      <c r="D11" s="4" t="s">
        <v>35</v>
      </c>
      <c r="E11" s="4" t="s">
        <v>25</v>
      </c>
      <c r="F11" s="4" t="s">
        <v>25</v>
      </c>
      <c r="G11" s="4" t="s">
        <v>25</v>
      </c>
      <c r="H11" s="4" t="s">
        <v>39</v>
      </c>
      <c r="I11" s="5">
        <v>44562</v>
      </c>
      <c r="J11" s="6">
        <v>0</v>
      </c>
      <c r="K11" s="6">
        <v>0</v>
      </c>
      <c r="L11" s="6">
        <v>242.20699999999999</v>
      </c>
      <c r="M11" s="6">
        <v>242.20699999999999</v>
      </c>
      <c r="N11" s="6">
        <v>242.20699999999999</v>
      </c>
      <c r="O11" s="6">
        <v>242.20699999999999</v>
      </c>
      <c r="P11" s="6">
        <v>0</v>
      </c>
      <c r="Q11" s="4" t="s">
        <v>26</v>
      </c>
      <c r="R11" s="4">
        <v>0</v>
      </c>
      <c r="S11" s="6">
        <v>0</v>
      </c>
      <c r="T11" s="6">
        <v>84</v>
      </c>
      <c r="U11" s="6">
        <v>34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123.21</v>
      </c>
      <c r="X11" s="6">
        <f>IF(ISERROR(VLOOKUP($U$11,'TAR FIN'!$A$1:$O$85,15,0)),0,VLOOKUP($U$11,'TAR FIN'!$A$1:$O$85,15,0))</f>
        <v>201.73</v>
      </c>
      <c r="Y11" s="6"/>
      <c r="Z11" s="6">
        <f ca="1">('TUSD BE'!$AM$12+'TUSD BF'!$AM$12+'TUSD CVA'!$AM$12)*1</f>
        <v>135.58316981747089</v>
      </c>
      <c r="AA11" s="6">
        <f>('TE BE'!$AA$6+'TE BF'!$AA$6+'TE CVA'!$AA$6)*1</f>
        <v>225.7947898398177</v>
      </c>
      <c r="AB11" s="6">
        <f>$K$11*$V$11</f>
        <v>0</v>
      </c>
      <c r="AC11" s="6">
        <f>$M$11*$W$11</f>
        <v>29842.324469999996</v>
      </c>
      <c r="AD11" s="6">
        <f>$O$11*$X$11</f>
        <v>48860.418109999999</v>
      </c>
      <c r="AE11" s="6">
        <f>$K$11*$Y$11</f>
        <v>0</v>
      </c>
      <c r="AF11" s="6">
        <f ca="1">$M$11*$Z$11</f>
        <v>32839.192811980174</v>
      </c>
      <c r="AG11" s="6">
        <f>$O$11*$AA$11</f>
        <v>54689.078662732725</v>
      </c>
    </row>
    <row r="12" spans="1:48" ht="11.25" customHeight="1" x14ac:dyDescent="0.3">
      <c r="A12" s="4" t="s">
        <v>21</v>
      </c>
      <c r="B12" s="4" t="s">
        <v>36</v>
      </c>
      <c r="C12" s="4" t="s">
        <v>37</v>
      </c>
      <c r="D12" s="4" t="s">
        <v>35</v>
      </c>
      <c r="E12" s="4" t="s">
        <v>25</v>
      </c>
      <c r="F12" s="4" t="s">
        <v>25</v>
      </c>
      <c r="G12" s="4" t="s">
        <v>25</v>
      </c>
      <c r="H12" s="4" t="s">
        <v>39</v>
      </c>
      <c r="I12" s="5">
        <v>44593</v>
      </c>
      <c r="J12" s="6">
        <v>0</v>
      </c>
      <c r="K12" s="6">
        <v>0</v>
      </c>
      <c r="L12" s="6">
        <v>189.31</v>
      </c>
      <c r="M12" s="6">
        <v>189.31</v>
      </c>
      <c r="N12" s="6">
        <v>189.31</v>
      </c>
      <c r="O12" s="6">
        <v>189.31</v>
      </c>
      <c r="P12" s="6">
        <v>0</v>
      </c>
      <c r="Q12" s="4" t="s">
        <v>26</v>
      </c>
      <c r="R12" s="4">
        <v>0</v>
      </c>
      <c r="S12" s="6">
        <v>0</v>
      </c>
      <c r="T12" s="6">
        <v>84</v>
      </c>
      <c r="U12" s="6">
        <v>34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123.21</v>
      </c>
      <c r="X12" s="6">
        <f>IF(ISERROR(VLOOKUP($U$12,'TAR FIN'!$A$1:$O$85,15,0)),0,VLOOKUP($U$12,'TAR FIN'!$A$1:$O$85,15,0))</f>
        <v>201.73</v>
      </c>
      <c r="Y12" s="6"/>
      <c r="Z12" s="6">
        <f ca="1">('TUSD BE'!$AM$12+'TUSD BF'!$AM$12+'TUSD CVA'!$AM$12)*1</f>
        <v>135.58316981747089</v>
      </c>
      <c r="AA12" s="6">
        <f>('TE BE'!$AA$6+'TE BF'!$AA$6+'TE CVA'!$AA$6)*1</f>
        <v>225.7947898398177</v>
      </c>
      <c r="AB12" s="6">
        <f>$K$12*$V$12</f>
        <v>0</v>
      </c>
      <c r="AC12" s="6">
        <f>$M$12*$W$12</f>
        <v>23324.8851</v>
      </c>
      <c r="AD12" s="6">
        <f>$O$12*$X$12</f>
        <v>38189.506300000001</v>
      </c>
      <c r="AE12" s="6">
        <f>$K$12*$Y$12</f>
        <v>0</v>
      </c>
      <c r="AF12" s="6">
        <f ca="1">$M$12*$Z$12</f>
        <v>25667.249878145416</v>
      </c>
      <c r="AG12" s="6">
        <f>$O$12*$AA$12</f>
        <v>42745.211664575887</v>
      </c>
      <c r="AU12" s="6">
        <f ca="1">AU9</f>
        <v>24450478.607349817</v>
      </c>
    </row>
    <row r="13" spans="1:48" ht="11.25" customHeight="1" x14ac:dyDescent="0.3">
      <c r="A13" s="4" t="s">
        <v>21</v>
      </c>
      <c r="B13" s="4" t="s">
        <v>36</v>
      </c>
      <c r="C13" s="4" t="s">
        <v>37</v>
      </c>
      <c r="D13" s="4" t="s">
        <v>35</v>
      </c>
      <c r="E13" s="4" t="s">
        <v>25</v>
      </c>
      <c r="F13" s="4" t="s">
        <v>25</v>
      </c>
      <c r="G13" s="4" t="s">
        <v>25</v>
      </c>
      <c r="H13" s="4" t="s">
        <v>39</v>
      </c>
      <c r="I13" s="5">
        <v>44621</v>
      </c>
      <c r="J13" s="6">
        <v>0</v>
      </c>
      <c r="K13" s="6">
        <v>0</v>
      </c>
      <c r="L13" s="6">
        <v>210.745</v>
      </c>
      <c r="M13" s="6">
        <v>210.745</v>
      </c>
      <c r="N13" s="6">
        <v>210.745</v>
      </c>
      <c r="O13" s="6">
        <v>210.745</v>
      </c>
      <c r="P13" s="6">
        <v>0</v>
      </c>
      <c r="Q13" s="4" t="s">
        <v>26</v>
      </c>
      <c r="R13" s="4">
        <v>0</v>
      </c>
      <c r="S13" s="6">
        <v>0</v>
      </c>
      <c r="T13" s="6">
        <v>84</v>
      </c>
      <c r="U13" s="6">
        <v>34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123.21</v>
      </c>
      <c r="X13" s="6">
        <f>IF(ISERROR(VLOOKUP($U$13,'TAR FIN'!$A$1:$O$85,15,0)),0,VLOOKUP($U$13,'TAR FIN'!$A$1:$O$85,15,0))</f>
        <v>201.73</v>
      </c>
      <c r="Y13" s="6"/>
      <c r="Z13" s="6">
        <f ca="1">('TUSD BE'!$AM$12+'TUSD BF'!$AM$12+'TUSD CVA'!$AM$12)*1</f>
        <v>135.58316981747089</v>
      </c>
      <c r="AA13" s="6">
        <f>('TE BE'!$AA$6+'TE BF'!$AA$6+'TE CVA'!$AA$6)*1</f>
        <v>225.7947898398177</v>
      </c>
      <c r="AB13" s="6">
        <f>$K$13*$V$13</f>
        <v>0</v>
      </c>
      <c r="AC13" s="6">
        <f>$M$13*$W$13</f>
        <v>25965.891449999999</v>
      </c>
      <c r="AD13" s="6">
        <f>$O$13*$X$13</f>
        <v>42513.58885</v>
      </c>
      <c r="AE13" s="6">
        <f>$K$13*$Y$13</f>
        <v>0</v>
      </c>
      <c r="AF13" s="6">
        <f ca="1">$M$13*$Z$13</f>
        <v>28573.475123182903</v>
      </c>
      <c r="AG13" s="6">
        <f>$O$13*$AA$13</f>
        <v>47585.122984792382</v>
      </c>
      <c r="AU13" s="6">
        <f ca="1">SUBSIDIO!AJ13</f>
        <v>188920.23825718669</v>
      </c>
    </row>
    <row r="14" spans="1:48" ht="11.25" customHeight="1" x14ac:dyDescent="0.3">
      <c r="A14" s="4" t="s">
        <v>21</v>
      </c>
      <c r="B14" s="4" t="s">
        <v>36</v>
      </c>
      <c r="C14" s="4" t="s">
        <v>37</v>
      </c>
      <c r="D14" s="4" t="s">
        <v>35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44287</v>
      </c>
      <c r="J14" s="6">
        <v>1190</v>
      </c>
      <c r="K14" s="6">
        <v>1190</v>
      </c>
      <c r="L14" s="6">
        <v>0</v>
      </c>
      <c r="M14" s="6">
        <v>0</v>
      </c>
      <c r="N14" s="6">
        <v>0</v>
      </c>
      <c r="O14" s="6">
        <v>0</v>
      </c>
      <c r="P14" s="6">
        <v>11</v>
      </c>
      <c r="Q14" s="4" t="s">
        <v>26</v>
      </c>
      <c r="R14" s="4">
        <v>0</v>
      </c>
      <c r="S14" s="6">
        <v>80</v>
      </c>
      <c r="T14" s="6">
        <v>0</v>
      </c>
      <c r="U14" s="6">
        <v>0</v>
      </c>
      <c r="V14" s="6">
        <f>IF(ISERROR(VLOOKUP($S$14,'TAR FIN'!$A$1:$O$85,15,0)),0,VLOOKUP($S$14,'TAR FIN'!$A$1:$O$85,15,0))</f>
        <v>53.08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68.856304175014913</v>
      </c>
      <c r="Z14" s="6"/>
      <c r="AA14" s="6"/>
      <c r="AB14" s="6">
        <f>$K$14*$V$14</f>
        <v>63165.2</v>
      </c>
      <c r="AC14" s="6">
        <f>$M$14*$W$14</f>
        <v>0</v>
      </c>
      <c r="AD14" s="6">
        <f>$O$14*$X$14</f>
        <v>0</v>
      </c>
      <c r="AE14" s="6">
        <f ca="1">$K$14*$Y$14</f>
        <v>81939.001968267752</v>
      </c>
      <c r="AF14" s="6">
        <f>$M$14*$Z$14</f>
        <v>0</v>
      </c>
      <c r="AG14" s="6">
        <f>$O$14*$AA$14</f>
        <v>0</v>
      </c>
      <c r="AU14" s="86">
        <f ca="1">AU12+AU13</f>
        <v>24639398.845607005</v>
      </c>
    </row>
    <row r="15" spans="1:48" ht="11.25" customHeight="1" x14ac:dyDescent="0.3">
      <c r="A15" s="4" t="s">
        <v>21</v>
      </c>
      <c r="B15" s="4" t="s">
        <v>36</v>
      </c>
      <c r="C15" s="4" t="s">
        <v>37</v>
      </c>
      <c r="D15" s="4" t="s">
        <v>35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44317</v>
      </c>
      <c r="J15" s="6">
        <v>1175</v>
      </c>
      <c r="K15" s="6">
        <v>1175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4" t="s">
        <v>26</v>
      </c>
      <c r="R15" s="4">
        <v>0</v>
      </c>
      <c r="S15" s="6">
        <v>80</v>
      </c>
      <c r="T15" s="6">
        <v>0</v>
      </c>
      <c r="U15" s="6">
        <v>0</v>
      </c>
      <c r="V15" s="6">
        <f>IF(ISERROR(VLOOKUP($S$15,'TAR FIN'!$A$1:$O$85,15,0)),0,VLOOKUP($S$15,'TAR FIN'!$A$1:$O$85,15,0))</f>
        <v>53.08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68.856304175014913</v>
      </c>
      <c r="Z15" s="6"/>
      <c r="AA15" s="6"/>
      <c r="AB15" s="6">
        <f>$K$15*$V$15</f>
        <v>62369</v>
      </c>
      <c r="AC15" s="6">
        <f>$M$15*$W$15</f>
        <v>0</v>
      </c>
      <c r="AD15" s="6">
        <f>$O$15*$X$15</f>
        <v>0</v>
      </c>
      <c r="AE15" s="6">
        <f ca="1">$K$15*$Y$15</f>
        <v>80906.157405642516</v>
      </c>
      <c r="AF15" s="6">
        <f>$M$15*$Z$15</f>
        <v>0</v>
      </c>
      <c r="AG15" s="6">
        <f>$O$15*$AA$15</f>
        <v>0</v>
      </c>
      <c r="AU15" s="87">
        <f ca="1">AU14-CUSTOS!H48</f>
        <v>-1.4901161193847656E-7</v>
      </c>
    </row>
    <row r="16" spans="1:48" ht="11.25" customHeight="1" x14ac:dyDescent="0.3">
      <c r="A16" s="4" t="s">
        <v>21</v>
      </c>
      <c r="B16" s="4" t="s">
        <v>36</v>
      </c>
      <c r="C16" s="4" t="s">
        <v>37</v>
      </c>
      <c r="D16" s="4" t="s">
        <v>35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44348</v>
      </c>
      <c r="J16" s="6">
        <v>1188</v>
      </c>
      <c r="K16" s="6">
        <v>1188</v>
      </c>
      <c r="L16" s="6">
        <v>0</v>
      </c>
      <c r="M16" s="6">
        <v>0</v>
      </c>
      <c r="N16" s="6">
        <v>0</v>
      </c>
      <c r="O16" s="6">
        <v>0</v>
      </c>
      <c r="P16" s="6">
        <v>11</v>
      </c>
      <c r="Q16" s="4" t="s">
        <v>26</v>
      </c>
      <c r="R16" s="4">
        <v>0</v>
      </c>
      <c r="S16" s="6">
        <v>80</v>
      </c>
      <c r="T16" s="6">
        <v>0</v>
      </c>
      <c r="U16" s="6">
        <v>0</v>
      </c>
      <c r="V16" s="6">
        <f>IF(ISERROR(VLOOKUP($S$16,'TAR FIN'!$A$1:$O$85,15,0)),0,VLOOKUP($S$16,'TAR FIN'!$A$1:$O$85,15,0))</f>
        <v>53.08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68.856304175014913</v>
      </c>
      <c r="Z16" s="6"/>
      <c r="AA16" s="6"/>
      <c r="AB16" s="6">
        <f>$K$16*$V$16</f>
        <v>63059.040000000001</v>
      </c>
      <c r="AC16" s="6">
        <f>$M$16*$W$16</f>
        <v>0</v>
      </c>
      <c r="AD16" s="6">
        <f>$O$16*$X$16</f>
        <v>0</v>
      </c>
      <c r="AE16" s="6">
        <f ca="1">$K$16*$Y$16</f>
        <v>81801.289359917719</v>
      </c>
      <c r="AF16" s="6">
        <f>$M$16*$Z$16</f>
        <v>0</v>
      </c>
      <c r="AG16" s="6">
        <f>$O$16*$AA$16</f>
        <v>0</v>
      </c>
    </row>
    <row r="17" spans="1:33" ht="11.25" customHeight="1" x14ac:dyDescent="0.3">
      <c r="A17" s="4" t="s">
        <v>21</v>
      </c>
      <c r="B17" s="4" t="s">
        <v>36</v>
      </c>
      <c r="C17" s="4" t="s">
        <v>37</v>
      </c>
      <c r="D17" s="4" t="s">
        <v>35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44378</v>
      </c>
      <c r="J17" s="6">
        <v>1059</v>
      </c>
      <c r="K17" s="6">
        <v>1059</v>
      </c>
      <c r="L17" s="6">
        <v>0</v>
      </c>
      <c r="M17" s="6">
        <v>0</v>
      </c>
      <c r="N17" s="6">
        <v>0</v>
      </c>
      <c r="O17" s="6">
        <v>0</v>
      </c>
      <c r="P17" s="6">
        <v>11</v>
      </c>
      <c r="Q17" s="4" t="s">
        <v>26</v>
      </c>
      <c r="R17" s="4">
        <v>0</v>
      </c>
      <c r="S17" s="6">
        <v>80</v>
      </c>
      <c r="T17" s="6">
        <v>0</v>
      </c>
      <c r="U17" s="6">
        <v>0</v>
      </c>
      <c r="V17" s="6">
        <f>IF(ISERROR(VLOOKUP($S$17,'TAR FIN'!$A$1:$O$85,15,0)),0,VLOOKUP($S$17,'TAR FIN'!$A$1:$O$85,15,0))</f>
        <v>53.08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68.856304175014913</v>
      </c>
      <c r="Z17" s="6"/>
      <c r="AA17" s="6"/>
      <c r="AB17" s="6">
        <f>$K$17*$V$17</f>
        <v>56211.72</v>
      </c>
      <c r="AC17" s="6">
        <f>$M$17*$W$17</f>
        <v>0</v>
      </c>
      <c r="AD17" s="6">
        <f>$O$17*$X$17</f>
        <v>0</v>
      </c>
      <c r="AE17" s="6">
        <f ca="1">$K$17*$Y$17</f>
        <v>72918.826121340797</v>
      </c>
      <c r="AF17" s="6">
        <f>$M$17*$Z$17</f>
        <v>0</v>
      </c>
      <c r="AG17" s="6">
        <f>$O$17*$AA$17</f>
        <v>0</v>
      </c>
    </row>
    <row r="18" spans="1:33" ht="11.25" customHeight="1" x14ac:dyDescent="0.3">
      <c r="A18" s="4" t="s">
        <v>21</v>
      </c>
      <c r="B18" s="4" t="s">
        <v>36</v>
      </c>
      <c r="C18" s="4" t="s">
        <v>37</v>
      </c>
      <c r="D18" s="4" t="s">
        <v>35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44409</v>
      </c>
      <c r="J18" s="6">
        <v>1053</v>
      </c>
      <c r="K18" s="6">
        <v>1053</v>
      </c>
      <c r="L18" s="6">
        <v>0</v>
      </c>
      <c r="M18" s="6">
        <v>0</v>
      </c>
      <c r="N18" s="6">
        <v>0</v>
      </c>
      <c r="O18" s="6">
        <v>0</v>
      </c>
      <c r="P18" s="6">
        <v>11</v>
      </c>
      <c r="Q18" s="4" t="s">
        <v>26</v>
      </c>
      <c r="R18" s="4">
        <v>0</v>
      </c>
      <c r="S18" s="6">
        <v>80</v>
      </c>
      <c r="T18" s="6">
        <v>0</v>
      </c>
      <c r="U18" s="6">
        <v>0</v>
      </c>
      <c r="V18" s="6">
        <f>IF(ISERROR(VLOOKUP($S$18,'TAR FIN'!$A$1:$O$85,15,0)),0,VLOOKUP($S$18,'TAR FIN'!$A$1:$O$85,15,0))</f>
        <v>53.08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68.856304175014913</v>
      </c>
      <c r="Z18" s="6"/>
      <c r="AA18" s="6"/>
      <c r="AB18" s="6">
        <f>$K$18*$V$18</f>
        <v>55893.24</v>
      </c>
      <c r="AC18" s="6">
        <f>$M$18*$W$18</f>
        <v>0</v>
      </c>
      <c r="AD18" s="6">
        <f>$O$18*$X$18</f>
        <v>0</v>
      </c>
      <c r="AE18" s="6">
        <f ca="1">$K$18*$Y$18</f>
        <v>72505.688296290697</v>
      </c>
      <c r="AF18" s="6">
        <f>$M$18*$Z$18</f>
        <v>0</v>
      </c>
      <c r="AG18" s="6">
        <f>$O$18*$AA$18</f>
        <v>0</v>
      </c>
    </row>
    <row r="19" spans="1:33" ht="11.25" customHeight="1" x14ac:dyDescent="0.3">
      <c r="A19" s="4" t="s">
        <v>21</v>
      </c>
      <c r="B19" s="4" t="s">
        <v>36</v>
      </c>
      <c r="C19" s="4" t="s">
        <v>37</v>
      </c>
      <c r="D19" s="4" t="s">
        <v>35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44440</v>
      </c>
      <c r="J19" s="6">
        <v>1083</v>
      </c>
      <c r="K19" s="6">
        <v>1083</v>
      </c>
      <c r="L19" s="6">
        <v>0</v>
      </c>
      <c r="M19" s="6">
        <v>0</v>
      </c>
      <c r="N19" s="6">
        <v>0</v>
      </c>
      <c r="O19" s="6">
        <v>0</v>
      </c>
      <c r="P19" s="6">
        <v>11</v>
      </c>
      <c r="Q19" s="4" t="s">
        <v>26</v>
      </c>
      <c r="R19" s="4">
        <v>0</v>
      </c>
      <c r="S19" s="6">
        <v>80</v>
      </c>
      <c r="T19" s="6">
        <v>0</v>
      </c>
      <c r="U19" s="6">
        <v>0</v>
      </c>
      <c r="V19" s="6">
        <f>IF(ISERROR(VLOOKUP($S$19,'TAR FIN'!$A$1:$O$85,15,0)),0,VLOOKUP($S$19,'TAR FIN'!$A$1:$O$85,15,0))</f>
        <v>53.08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68.856304175014913</v>
      </c>
      <c r="Z19" s="6"/>
      <c r="AA19" s="6"/>
      <c r="AB19" s="6">
        <f>$K$19*$V$19</f>
        <v>57485.64</v>
      </c>
      <c r="AC19" s="6">
        <f>$M$19*$W$19</f>
        <v>0</v>
      </c>
      <c r="AD19" s="6">
        <f>$O$19*$X$19</f>
        <v>0</v>
      </c>
      <c r="AE19" s="6">
        <f ca="1">$K$19*$Y$19</f>
        <v>74571.377421541154</v>
      </c>
      <c r="AF19" s="6">
        <f>$M$19*$Z$19</f>
        <v>0</v>
      </c>
      <c r="AG19" s="6">
        <f>$O$19*$AA$19</f>
        <v>0</v>
      </c>
    </row>
    <row r="20" spans="1:33" ht="11.25" customHeight="1" x14ac:dyDescent="0.3">
      <c r="A20" s="4" t="s">
        <v>21</v>
      </c>
      <c r="B20" s="4" t="s">
        <v>36</v>
      </c>
      <c r="C20" s="4" t="s">
        <v>37</v>
      </c>
      <c r="D20" s="4" t="s">
        <v>35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44470</v>
      </c>
      <c r="J20" s="6">
        <v>1072</v>
      </c>
      <c r="K20" s="6">
        <v>1072</v>
      </c>
      <c r="L20" s="6">
        <v>0</v>
      </c>
      <c r="M20" s="6">
        <v>0</v>
      </c>
      <c r="N20" s="6">
        <v>0</v>
      </c>
      <c r="O20" s="6">
        <v>0</v>
      </c>
      <c r="P20" s="6">
        <v>11</v>
      </c>
      <c r="Q20" s="4" t="s">
        <v>26</v>
      </c>
      <c r="R20" s="4">
        <v>0</v>
      </c>
      <c r="S20" s="6">
        <v>80</v>
      </c>
      <c r="T20" s="6">
        <v>0</v>
      </c>
      <c r="U20" s="6">
        <v>0</v>
      </c>
      <c r="V20" s="6">
        <f>IF(ISERROR(VLOOKUP($S$20,'TAR FIN'!$A$1:$O$85,15,0)),0,VLOOKUP($S$20,'TAR FIN'!$A$1:$O$85,15,0))</f>
        <v>53.08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68.856304175014913</v>
      </c>
      <c r="Z20" s="6"/>
      <c r="AA20" s="6"/>
      <c r="AB20" s="6">
        <f>$K$20*$V$20</f>
        <v>56901.759999999995</v>
      </c>
      <c r="AC20" s="6">
        <f>$M$20*$W$20</f>
        <v>0</v>
      </c>
      <c r="AD20" s="6">
        <f>$O$20*$X$20</f>
        <v>0</v>
      </c>
      <c r="AE20" s="6">
        <f ca="1">$K$20*$Y$20</f>
        <v>73813.958075615985</v>
      </c>
      <c r="AF20" s="6">
        <f>$M$20*$Z$20</f>
        <v>0</v>
      </c>
      <c r="AG20" s="6">
        <f>$O$20*$AA$20</f>
        <v>0</v>
      </c>
    </row>
    <row r="21" spans="1:33" ht="11.25" customHeight="1" x14ac:dyDescent="0.3">
      <c r="A21" s="4" t="s">
        <v>21</v>
      </c>
      <c r="B21" s="4" t="s">
        <v>36</v>
      </c>
      <c r="C21" s="4" t="s">
        <v>37</v>
      </c>
      <c r="D21" s="4" t="s">
        <v>35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44501</v>
      </c>
      <c r="J21" s="6">
        <v>1119</v>
      </c>
      <c r="K21" s="6">
        <v>1119</v>
      </c>
      <c r="L21" s="6">
        <v>0</v>
      </c>
      <c r="M21" s="6">
        <v>0</v>
      </c>
      <c r="N21" s="6">
        <v>0</v>
      </c>
      <c r="O21" s="6">
        <v>0</v>
      </c>
      <c r="P21" s="6">
        <v>11</v>
      </c>
      <c r="Q21" s="4" t="s">
        <v>26</v>
      </c>
      <c r="R21" s="4">
        <v>0</v>
      </c>
      <c r="S21" s="6">
        <v>80</v>
      </c>
      <c r="T21" s="6">
        <v>0</v>
      </c>
      <c r="U21" s="6">
        <v>0</v>
      </c>
      <c r="V21" s="6">
        <f>IF(ISERROR(VLOOKUP($S$21,'TAR FIN'!$A$1:$O$85,15,0)),0,VLOOKUP($S$21,'TAR FIN'!$A$1:$O$85,15,0))</f>
        <v>53.08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68.856304175014913</v>
      </c>
      <c r="Z21" s="6"/>
      <c r="AA21" s="6"/>
      <c r="AB21" s="6">
        <f>$K$21*$V$21</f>
        <v>59396.52</v>
      </c>
      <c r="AC21" s="6">
        <f>$M$21*$W$21</f>
        <v>0</v>
      </c>
      <c r="AD21" s="6">
        <f>$O$21*$X$21</f>
        <v>0</v>
      </c>
      <c r="AE21" s="6">
        <f ca="1">$K$21*$Y$21</f>
        <v>77050.204371841683</v>
      </c>
      <c r="AF21" s="6">
        <f>$M$21*$Z$21</f>
        <v>0</v>
      </c>
      <c r="AG21" s="6">
        <f>$O$21*$AA$21</f>
        <v>0</v>
      </c>
    </row>
    <row r="22" spans="1:33" ht="11.25" customHeight="1" x14ac:dyDescent="0.3">
      <c r="A22" s="4" t="s">
        <v>21</v>
      </c>
      <c r="B22" s="4" t="s">
        <v>36</v>
      </c>
      <c r="C22" s="4" t="s">
        <v>37</v>
      </c>
      <c r="D22" s="4" t="s">
        <v>35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44531</v>
      </c>
      <c r="J22" s="6">
        <v>1103</v>
      </c>
      <c r="K22" s="6">
        <v>1103</v>
      </c>
      <c r="L22" s="6">
        <v>0</v>
      </c>
      <c r="M22" s="6">
        <v>0</v>
      </c>
      <c r="N22" s="6">
        <v>0</v>
      </c>
      <c r="O22" s="6">
        <v>0</v>
      </c>
      <c r="P22" s="6">
        <v>11</v>
      </c>
      <c r="Q22" s="4" t="s">
        <v>26</v>
      </c>
      <c r="R22" s="4">
        <v>0</v>
      </c>
      <c r="S22" s="6">
        <v>80</v>
      </c>
      <c r="T22" s="6">
        <v>0</v>
      </c>
      <c r="U22" s="6">
        <v>0</v>
      </c>
      <c r="V22" s="6">
        <f>IF(ISERROR(VLOOKUP($S$22,'TAR FIN'!$A$1:$O$85,15,0)),0,VLOOKUP($S$22,'TAR FIN'!$A$1:$O$85,15,0))</f>
        <v>53.08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68.856304175014913</v>
      </c>
      <c r="Z22" s="6"/>
      <c r="AA22" s="6"/>
      <c r="AB22" s="6">
        <f>$K$22*$V$22</f>
        <v>58547.24</v>
      </c>
      <c r="AC22" s="6">
        <f>$M$22*$W$22</f>
        <v>0</v>
      </c>
      <c r="AD22" s="6">
        <f>$O$22*$X$22</f>
        <v>0</v>
      </c>
      <c r="AE22" s="6">
        <f ca="1">$K$22*$Y$22</f>
        <v>75948.503505041444</v>
      </c>
      <c r="AF22" s="6">
        <f>$M$22*$Z$22</f>
        <v>0</v>
      </c>
      <c r="AG22" s="6">
        <f>$O$22*$AA$22</f>
        <v>0</v>
      </c>
    </row>
    <row r="23" spans="1:33" ht="11.25" customHeight="1" x14ac:dyDescent="0.3">
      <c r="A23" s="4" t="s">
        <v>21</v>
      </c>
      <c r="B23" s="4" t="s">
        <v>36</v>
      </c>
      <c r="C23" s="4" t="s">
        <v>37</v>
      </c>
      <c r="D23" s="4" t="s">
        <v>35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44562</v>
      </c>
      <c r="J23" s="6">
        <v>1152</v>
      </c>
      <c r="K23" s="6">
        <v>1152</v>
      </c>
      <c r="L23" s="6">
        <v>0</v>
      </c>
      <c r="M23" s="6">
        <v>0</v>
      </c>
      <c r="N23" s="6">
        <v>0</v>
      </c>
      <c r="O23" s="6">
        <v>0</v>
      </c>
      <c r="P23" s="6">
        <v>12</v>
      </c>
      <c r="Q23" s="4" t="s">
        <v>26</v>
      </c>
      <c r="R23" s="4">
        <v>0</v>
      </c>
      <c r="S23" s="6">
        <v>80</v>
      </c>
      <c r="T23" s="6">
        <v>0</v>
      </c>
      <c r="U23" s="6">
        <v>0</v>
      </c>
      <c r="V23" s="6">
        <f>IF(ISERROR(VLOOKUP($S$23,'TAR FIN'!$A$1:$O$85,15,0)),0,VLOOKUP($S$23,'TAR FIN'!$A$1:$O$85,15,0))</f>
        <v>53.08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68.856304175014913</v>
      </c>
      <c r="Z23" s="6"/>
      <c r="AA23" s="6"/>
      <c r="AB23" s="6">
        <f>$K$23*$V$23</f>
        <v>61148.159999999996</v>
      </c>
      <c r="AC23" s="6">
        <f>$M$23*$W$23</f>
        <v>0</v>
      </c>
      <c r="AD23" s="6">
        <f>$O$23*$X$23</f>
        <v>0</v>
      </c>
      <c r="AE23" s="6">
        <f ca="1">$K$23*$Y$23</f>
        <v>79322.462409617176</v>
      </c>
      <c r="AF23" s="6">
        <f>$M$23*$Z$23</f>
        <v>0</v>
      </c>
      <c r="AG23" s="6">
        <f>$O$23*$AA$23</f>
        <v>0</v>
      </c>
    </row>
    <row r="24" spans="1:33" ht="11.25" customHeight="1" x14ac:dyDescent="0.3">
      <c r="A24" s="4" t="s">
        <v>21</v>
      </c>
      <c r="B24" s="4" t="s">
        <v>36</v>
      </c>
      <c r="C24" s="4" t="s">
        <v>37</v>
      </c>
      <c r="D24" s="4" t="s">
        <v>35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44593</v>
      </c>
      <c r="J24" s="6">
        <v>1202</v>
      </c>
      <c r="K24" s="6">
        <v>1202</v>
      </c>
      <c r="L24" s="6">
        <v>0</v>
      </c>
      <c r="M24" s="6">
        <v>0</v>
      </c>
      <c r="N24" s="6">
        <v>0</v>
      </c>
      <c r="O24" s="6">
        <v>0</v>
      </c>
      <c r="P24" s="6">
        <v>12</v>
      </c>
      <c r="Q24" s="4" t="s">
        <v>26</v>
      </c>
      <c r="R24" s="4">
        <v>0</v>
      </c>
      <c r="S24" s="6">
        <v>80</v>
      </c>
      <c r="T24" s="6">
        <v>0</v>
      </c>
      <c r="U24" s="6">
        <v>0</v>
      </c>
      <c r="V24" s="6">
        <f>IF(ISERROR(VLOOKUP($S$24,'TAR FIN'!$A$1:$O$85,15,0)),0,VLOOKUP($S$24,'TAR FIN'!$A$1:$O$85,15,0))</f>
        <v>53.08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68.856304175014913</v>
      </c>
      <c r="Z24" s="6"/>
      <c r="AA24" s="6"/>
      <c r="AB24" s="6">
        <f>$K$24*$V$24</f>
        <v>63802.159999999996</v>
      </c>
      <c r="AC24" s="6">
        <f>$M$24*$W$24</f>
        <v>0</v>
      </c>
      <c r="AD24" s="6">
        <f>$O$24*$X$24</f>
        <v>0</v>
      </c>
      <c r="AE24" s="6">
        <f ca="1">$K$24*$Y$24</f>
        <v>82765.277618367923</v>
      </c>
      <c r="AF24" s="6">
        <f>$M$24*$Z$24</f>
        <v>0</v>
      </c>
      <c r="AG24" s="6">
        <f>$O$24*$AA$24</f>
        <v>0</v>
      </c>
    </row>
    <row r="25" spans="1:33" ht="11.25" customHeight="1" x14ac:dyDescent="0.3">
      <c r="A25" s="4" t="s">
        <v>21</v>
      </c>
      <c r="B25" s="4" t="s">
        <v>36</v>
      </c>
      <c r="C25" s="4" t="s">
        <v>37</v>
      </c>
      <c r="D25" s="4" t="s">
        <v>35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44621</v>
      </c>
      <c r="J25" s="6">
        <v>1222</v>
      </c>
      <c r="K25" s="6">
        <v>1222</v>
      </c>
      <c r="L25" s="6">
        <v>0</v>
      </c>
      <c r="M25" s="6">
        <v>0</v>
      </c>
      <c r="N25" s="6">
        <v>0</v>
      </c>
      <c r="O25" s="6">
        <v>0</v>
      </c>
      <c r="P25" s="6">
        <v>12</v>
      </c>
      <c r="Q25" s="4" t="s">
        <v>26</v>
      </c>
      <c r="R25" s="4">
        <v>0</v>
      </c>
      <c r="S25" s="6">
        <v>80</v>
      </c>
      <c r="T25" s="6">
        <v>0</v>
      </c>
      <c r="U25" s="6">
        <v>0</v>
      </c>
      <c r="V25" s="6">
        <f>IF(ISERROR(VLOOKUP($S$25,'TAR FIN'!$A$1:$O$85,15,0)),0,VLOOKUP($S$25,'TAR FIN'!$A$1:$O$85,15,0))</f>
        <v>53.08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68.856304175014913</v>
      </c>
      <c r="Z25" s="6"/>
      <c r="AA25" s="6"/>
      <c r="AB25" s="6">
        <f>$K$25*$V$25</f>
        <v>64863.759999999995</v>
      </c>
      <c r="AC25" s="6">
        <f>$M$25*$W$25</f>
        <v>0</v>
      </c>
      <c r="AD25" s="6">
        <f>$O$25*$X$25</f>
        <v>0</v>
      </c>
      <c r="AE25" s="6">
        <f ca="1">$K$25*$Y$25</f>
        <v>84142.403701868228</v>
      </c>
      <c r="AF25" s="6">
        <f>$M$25*$Z$25</f>
        <v>0</v>
      </c>
      <c r="AG25" s="6">
        <f>$O$25*$AA$25</f>
        <v>0</v>
      </c>
    </row>
    <row r="26" spans="1:33" ht="11.25" customHeight="1" x14ac:dyDescent="0.3">
      <c r="A26" s="4" t="s">
        <v>21</v>
      </c>
      <c r="B26" s="4" t="s">
        <v>36</v>
      </c>
      <c r="C26" s="4" t="s">
        <v>37</v>
      </c>
      <c r="D26" s="4" t="s">
        <v>35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44287</v>
      </c>
      <c r="J26" s="6">
        <v>0</v>
      </c>
      <c r="K26" s="6">
        <v>0</v>
      </c>
      <c r="L26" s="6">
        <v>10.188000000000001</v>
      </c>
      <c r="M26" s="6">
        <v>10.188000000000001</v>
      </c>
      <c r="N26" s="6">
        <v>10.188000000000001</v>
      </c>
      <c r="O26" s="6">
        <v>10.188000000000001</v>
      </c>
      <c r="P26" s="6">
        <v>0</v>
      </c>
      <c r="Q26" s="4" t="s">
        <v>26</v>
      </c>
      <c r="R26" s="4">
        <v>0</v>
      </c>
      <c r="S26" s="6">
        <v>0</v>
      </c>
      <c r="T26" s="6">
        <v>83</v>
      </c>
      <c r="U26" s="6">
        <v>53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3711.27</v>
      </c>
      <c r="X26" s="6">
        <f>IF(ISERROR(VLOOKUP($U$26,'TAR FIN'!$A$1:$O$85,15,0)),0,VLOOKUP($U$26,'TAR FIN'!$A$1:$O$85,15,0))</f>
        <v>201.73</v>
      </c>
      <c r="Y26" s="6"/>
      <c r="Z26" s="6">
        <f ca="1">('TUSD BE'!$AM$11+'TUSD BF'!$AM$11+'TUSD CVA'!$AM$11)*1</f>
        <v>4852.6786357855317</v>
      </c>
      <c r="AA26" s="6">
        <f>('TE BE'!$AA$5+'TE BF'!$AA$5+'TE CVA'!$AA$5)*1</f>
        <v>225.7947898398177</v>
      </c>
      <c r="AB26" s="6">
        <f>$K$26*$V$26</f>
        <v>0</v>
      </c>
      <c r="AC26" s="6">
        <f>$M$26*$W$26</f>
        <v>37810.41876</v>
      </c>
      <c r="AD26" s="6">
        <f>$O$26*$X$26</f>
        <v>2055.2252400000002</v>
      </c>
      <c r="AE26" s="6">
        <f>$K$26*$Y$26</f>
        <v>0</v>
      </c>
      <c r="AF26" s="6">
        <f ca="1">$M$26*$Z$26</f>
        <v>49439.089941382997</v>
      </c>
      <c r="AG26" s="6">
        <f>$O$26*$AA$26</f>
        <v>2300.3973188880627</v>
      </c>
    </row>
    <row r="27" spans="1:33" ht="11.25" customHeight="1" x14ac:dyDescent="0.3">
      <c r="A27" s="4" t="s">
        <v>21</v>
      </c>
      <c r="B27" s="4" t="s">
        <v>36</v>
      </c>
      <c r="C27" s="4" t="s">
        <v>37</v>
      </c>
      <c r="D27" s="4" t="s">
        <v>35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44317</v>
      </c>
      <c r="J27" s="6">
        <v>0</v>
      </c>
      <c r="K27" s="6">
        <v>0</v>
      </c>
      <c r="L27" s="6">
        <v>9.8439999999999994</v>
      </c>
      <c r="M27" s="6">
        <v>9.8439999999999994</v>
      </c>
      <c r="N27" s="6">
        <v>9.8439999999999994</v>
      </c>
      <c r="O27" s="6">
        <v>9.8439999999999994</v>
      </c>
      <c r="P27" s="6">
        <v>0</v>
      </c>
      <c r="Q27" s="4" t="s">
        <v>26</v>
      </c>
      <c r="R27" s="4">
        <v>0</v>
      </c>
      <c r="S27" s="6">
        <v>0</v>
      </c>
      <c r="T27" s="6">
        <v>83</v>
      </c>
      <c r="U27" s="6">
        <v>53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3711.27</v>
      </c>
      <c r="X27" s="6">
        <f>IF(ISERROR(VLOOKUP($U$27,'TAR FIN'!$A$1:$O$85,15,0)),0,VLOOKUP($U$27,'TAR FIN'!$A$1:$O$85,15,0))</f>
        <v>201.73</v>
      </c>
      <c r="Y27" s="6"/>
      <c r="Z27" s="6">
        <f ca="1">('TUSD BE'!$AM$11+'TUSD BF'!$AM$11+'TUSD CVA'!$AM$11)*1</f>
        <v>4852.6786357855317</v>
      </c>
      <c r="AA27" s="6">
        <f>('TE BE'!$AA$5+'TE BF'!$AA$5+'TE CVA'!$AA$5)*1</f>
        <v>225.7947898398177</v>
      </c>
      <c r="AB27" s="6">
        <f>$K$27*$V$27</f>
        <v>0</v>
      </c>
      <c r="AC27" s="6">
        <f>$M$27*$W$27</f>
        <v>36533.741879999994</v>
      </c>
      <c r="AD27" s="6">
        <f>$O$27*$X$27</f>
        <v>1985.8301199999999</v>
      </c>
      <c r="AE27" s="6">
        <f>$K$27*$Y$27</f>
        <v>0</v>
      </c>
      <c r="AF27" s="6">
        <f ca="1">$M$27*$Z$27</f>
        <v>47769.768490672774</v>
      </c>
      <c r="AG27" s="6">
        <f>$O$27*$AA$27</f>
        <v>2222.7239111831655</v>
      </c>
    </row>
    <row r="28" spans="1:33" ht="11.25" customHeight="1" x14ac:dyDescent="0.3">
      <c r="A28" s="4" t="s">
        <v>21</v>
      </c>
      <c r="B28" s="4" t="s">
        <v>36</v>
      </c>
      <c r="C28" s="4" t="s">
        <v>37</v>
      </c>
      <c r="D28" s="4" t="s">
        <v>35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44348</v>
      </c>
      <c r="J28" s="6">
        <v>0</v>
      </c>
      <c r="K28" s="6">
        <v>0</v>
      </c>
      <c r="L28" s="6">
        <v>10.141999999999999</v>
      </c>
      <c r="M28" s="6">
        <v>10.141999999999999</v>
      </c>
      <c r="N28" s="6">
        <v>10.141999999999999</v>
      </c>
      <c r="O28" s="6">
        <v>10.141999999999999</v>
      </c>
      <c r="P28" s="6">
        <v>0</v>
      </c>
      <c r="Q28" s="4" t="s">
        <v>26</v>
      </c>
      <c r="R28" s="4">
        <v>0</v>
      </c>
      <c r="S28" s="6">
        <v>0</v>
      </c>
      <c r="T28" s="6">
        <v>83</v>
      </c>
      <c r="U28" s="6">
        <v>53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3711.27</v>
      </c>
      <c r="X28" s="6">
        <f>IF(ISERROR(VLOOKUP($U$28,'TAR FIN'!$A$1:$O$85,15,0)),0,VLOOKUP($U$28,'TAR FIN'!$A$1:$O$85,15,0))</f>
        <v>201.73</v>
      </c>
      <c r="Y28" s="6"/>
      <c r="Z28" s="6">
        <f ca="1">('TUSD BE'!$AM$11+'TUSD BF'!$AM$11+'TUSD CVA'!$AM$11)*1</f>
        <v>4852.6786357855317</v>
      </c>
      <c r="AA28" s="6">
        <f>('TE BE'!$AA$5+'TE BF'!$AA$5+'TE CVA'!$AA$5)*1</f>
        <v>225.7947898398177</v>
      </c>
      <c r="AB28" s="6">
        <f>$K$28*$V$28</f>
        <v>0</v>
      </c>
      <c r="AC28" s="6">
        <f>$M$28*$W$28</f>
        <v>37639.700339999996</v>
      </c>
      <c r="AD28" s="6">
        <f>$O$28*$X$28</f>
        <v>2045.9456599999999</v>
      </c>
      <c r="AE28" s="6">
        <f>$K$28*$Y$28</f>
        <v>0</v>
      </c>
      <c r="AF28" s="6">
        <f ca="1">$M$28*$Z$28</f>
        <v>49215.86672413686</v>
      </c>
      <c r="AG28" s="6">
        <f>$O$28*$AA$28</f>
        <v>2290.010758555431</v>
      </c>
    </row>
    <row r="29" spans="1:33" ht="11.25" customHeight="1" x14ac:dyDescent="0.3">
      <c r="A29" s="4" t="s">
        <v>21</v>
      </c>
      <c r="B29" s="4" t="s">
        <v>36</v>
      </c>
      <c r="C29" s="4" t="s">
        <v>37</v>
      </c>
      <c r="D29" s="4" t="s">
        <v>35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44378</v>
      </c>
      <c r="J29" s="6">
        <v>0</v>
      </c>
      <c r="K29" s="6">
        <v>0</v>
      </c>
      <c r="L29" s="6">
        <v>12.973000000000001</v>
      </c>
      <c r="M29" s="6">
        <v>12.973000000000001</v>
      </c>
      <c r="N29" s="6">
        <v>12.973000000000001</v>
      </c>
      <c r="O29" s="6">
        <v>12.973000000000001</v>
      </c>
      <c r="P29" s="6">
        <v>0</v>
      </c>
      <c r="Q29" s="4" t="s">
        <v>26</v>
      </c>
      <c r="R29" s="4">
        <v>0</v>
      </c>
      <c r="S29" s="6">
        <v>0</v>
      </c>
      <c r="T29" s="6">
        <v>83</v>
      </c>
      <c r="U29" s="6">
        <v>53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3711.27</v>
      </c>
      <c r="X29" s="6">
        <f>IF(ISERROR(VLOOKUP($U$29,'TAR FIN'!$A$1:$O$85,15,0)),0,VLOOKUP($U$29,'TAR FIN'!$A$1:$O$85,15,0))</f>
        <v>201.73</v>
      </c>
      <c r="Y29" s="6"/>
      <c r="Z29" s="6">
        <f ca="1">('TUSD BE'!$AM$11+'TUSD BF'!$AM$11+'TUSD CVA'!$AM$11)*1</f>
        <v>4852.6786357855317</v>
      </c>
      <c r="AA29" s="6">
        <f>('TE BE'!$AA$5+'TE BF'!$AA$5+'TE CVA'!$AA$5)*1</f>
        <v>225.7947898398177</v>
      </c>
      <c r="AB29" s="6">
        <f>$K$29*$V$29</f>
        <v>0</v>
      </c>
      <c r="AC29" s="6">
        <f>$M$29*$W$29</f>
        <v>48146.305710000001</v>
      </c>
      <c r="AD29" s="6">
        <f>$O$29*$X$29</f>
        <v>2617.0432900000001</v>
      </c>
      <c r="AE29" s="6">
        <f>$K$29*$Y$29</f>
        <v>0</v>
      </c>
      <c r="AF29" s="6">
        <f ca="1">$M$29*$Z$29</f>
        <v>62953.799942045705</v>
      </c>
      <c r="AG29" s="6">
        <f>$O$29*$AA$29</f>
        <v>2929.235808591955</v>
      </c>
    </row>
    <row r="30" spans="1:33" ht="11.25" customHeight="1" x14ac:dyDescent="0.3">
      <c r="A30" s="4" t="s">
        <v>21</v>
      </c>
      <c r="B30" s="4" t="s">
        <v>36</v>
      </c>
      <c r="C30" s="4" t="s">
        <v>37</v>
      </c>
      <c r="D30" s="4" t="s">
        <v>35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44409</v>
      </c>
      <c r="J30" s="6">
        <v>0</v>
      </c>
      <c r="K30" s="6">
        <v>0</v>
      </c>
      <c r="L30" s="6">
        <v>11.686999999999999</v>
      </c>
      <c r="M30" s="6">
        <v>11.686999999999999</v>
      </c>
      <c r="N30" s="6">
        <v>11.686999999999999</v>
      </c>
      <c r="O30" s="6">
        <v>11.686999999999999</v>
      </c>
      <c r="P30" s="6">
        <v>0</v>
      </c>
      <c r="Q30" s="4" t="s">
        <v>26</v>
      </c>
      <c r="R30" s="4">
        <v>0</v>
      </c>
      <c r="S30" s="6">
        <v>0</v>
      </c>
      <c r="T30" s="6">
        <v>83</v>
      </c>
      <c r="U30" s="6">
        <v>53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3711.27</v>
      </c>
      <c r="X30" s="6">
        <f>IF(ISERROR(VLOOKUP($U$30,'TAR FIN'!$A$1:$O$85,15,0)),0,VLOOKUP($U$30,'TAR FIN'!$A$1:$O$85,15,0))</f>
        <v>201.73</v>
      </c>
      <c r="Y30" s="6"/>
      <c r="Z30" s="6">
        <f ca="1">('TUSD BE'!$AM$11+'TUSD BF'!$AM$11+'TUSD CVA'!$AM$11)*1</f>
        <v>4852.6786357855317</v>
      </c>
      <c r="AA30" s="6">
        <f>('TE BE'!$AA$5+'TE BF'!$AA$5+'TE CVA'!$AA$5)*1</f>
        <v>225.7947898398177</v>
      </c>
      <c r="AB30" s="6">
        <f>$K$30*$V$30</f>
        <v>0</v>
      </c>
      <c r="AC30" s="6">
        <f>$M$30*$W$30</f>
        <v>43373.61249</v>
      </c>
      <c r="AD30" s="6">
        <f>$O$30*$X$30</f>
        <v>2357.6185099999998</v>
      </c>
      <c r="AE30" s="6">
        <f>$K$30*$Y$30</f>
        <v>0</v>
      </c>
      <c r="AF30" s="6">
        <f ca="1">$M$30*$Z$30</f>
        <v>56713.255216425503</v>
      </c>
      <c r="AG30" s="6">
        <f>$O$30*$AA$30</f>
        <v>2638.8637088579494</v>
      </c>
    </row>
    <row r="31" spans="1:33" ht="11.25" customHeight="1" x14ac:dyDescent="0.3">
      <c r="A31" s="4" t="s">
        <v>21</v>
      </c>
      <c r="B31" s="4" t="s">
        <v>36</v>
      </c>
      <c r="C31" s="4" t="s">
        <v>37</v>
      </c>
      <c r="D31" s="4" t="s">
        <v>35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44440</v>
      </c>
      <c r="J31" s="6">
        <v>0</v>
      </c>
      <c r="K31" s="6">
        <v>0</v>
      </c>
      <c r="L31" s="6">
        <v>11.996</v>
      </c>
      <c r="M31" s="6">
        <v>11.996</v>
      </c>
      <c r="N31" s="6">
        <v>11.996</v>
      </c>
      <c r="O31" s="6">
        <v>11.996</v>
      </c>
      <c r="P31" s="6">
        <v>0</v>
      </c>
      <c r="Q31" s="4" t="s">
        <v>26</v>
      </c>
      <c r="R31" s="4">
        <v>0</v>
      </c>
      <c r="S31" s="6">
        <v>0</v>
      </c>
      <c r="T31" s="6">
        <v>83</v>
      </c>
      <c r="U31" s="6">
        <v>53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3711.27</v>
      </c>
      <c r="X31" s="6">
        <f>IF(ISERROR(VLOOKUP($U$31,'TAR FIN'!$A$1:$O$85,15,0)),0,VLOOKUP($U$31,'TAR FIN'!$A$1:$O$85,15,0))</f>
        <v>201.73</v>
      </c>
      <c r="Y31" s="6"/>
      <c r="Z31" s="6">
        <f ca="1">('TUSD BE'!$AM$11+'TUSD BF'!$AM$11+'TUSD CVA'!$AM$11)*1</f>
        <v>4852.6786357855317</v>
      </c>
      <c r="AA31" s="6">
        <f>('TE BE'!$AA$5+'TE BF'!$AA$5+'TE CVA'!$AA$5)*1</f>
        <v>225.7947898398177</v>
      </c>
      <c r="AB31" s="6">
        <f>$K$31*$V$31</f>
        <v>0</v>
      </c>
      <c r="AC31" s="6">
        <f>$M$31*$W$31</f>
        <v>44520.394919999999</v>
      </c>
      <c r="AD31" s="6">
        <f>$O$31*$X$31</f>
        <v>2419.9530799999998</v>
      </c>
      <c r="AE31" s="6">
        <f>$K$31*$Y$31</f>
        <v>0</v>
      </c>
      <c r="AF31" s="6">
        <f ca="1">$M$31*$Z$31</f>
        <v>58212.732914883243</v>
      </c>
      <c r="AG31" s="6">
        <f>$O$31*$AA$31</f>
        <v>2708.6342989184532</v>
      </c>
    </row>
    <row r="32" spans="1:33" ht="11.25" customHeight="1" x14ac:dyDescent="0.3">
      <c r="A32" s="4" t="s">
        <v>21</v>
      </c>
      <c r="B32" s="4" t="s">
        <v>36</v>
      </c>
      <c r="C32" s="4" t="s">
        <v>37</v>
      </c>
      <c r="D32" s="4" t="s">
        <v>35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44470</v>
      </c>
      <c r="J32" s="6">
        <v>0</v>
      </c>
      <c r="K32" s="6">
        <v>0</v>
      </c>
      <c r="L32" s="6">
        <v>10.98</v>
      </c>
      <c r="M32" s="6">
        <v>10.98</v>
      </c>
      <c r="N32" s="6">
        <v>10.98</v>
      </c>
      <c r="O32" s="6">
        <v>10.98</v>
      </c>
      <c r="P32" s="6">
        <v>0</v>
      </c>
      <c r="Q32" s="4" t="s">
        <v>26</v>
      </c>
      <c r="R32" s="4">
        <v>0</v>
      </c>
      <c r="S32" s="6">
        <v>0</v>
      </c>
      <c r="T32" s="6">
        <v>83</v>
      </c>
      <c r="U32" s="6">
        <v>53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3711.27</v>
      </c>
      <c r="X32" s="6">
        <f>IF(ISERROR(VLOOKUP($U$32,'TAR FIN'!$A$1:$O$85,15,0)),0,VLOOKUP($U$32,'TAR FIN'!$A$1:$O$85,15,0))</f>
        <v>201.73</v>
      </c>
      <c r="Y32" s="6"/>
      <c r="Z32" s="6">
        <f ca="1">('TUSD BE'!$AM$11+'TUSD BF'!$AM$11+'TUSD CVA'!$AM$11)*1</f>
        <v>4852.6786357855317</v>
      </c>
      <c r="AA32" s="6">
        <f>('TE BE'!$AA$5+'TE BF'!$AA$5+'TE CVA'!$AA$5)*1</f>
        <v>225.7947898398177</v>
      </c>
      <c r="AB32" s="6">
        <f>$K$32*$V$32</f>
        <v>0</v>
      </c>
      <c r="AC32" s="6">
        <f>$M$32*$W$32</f>
        <v>40749.744599999998</v>
      </c>
      <c r="AD32" s="6">
        <f>$O$32*$X$32</f>
        <v>2214.9953999999998</v>
      </c>
      <c r="AE32" s="6">
        <f>$K$32*$Y$32</f>
        <v>0</v>
      </c>
      <c r="AF32" s="6">
        <f ca="1">$M$32*$Z$32</f>
        <v>53282.411420925142</v>
      </c>
      <c r="AG32" s="6">
        <f>$O$32*$AA$32</f>
        <v>2479.2267924411985</v>
      </c>
    </row>
    <row r="33" spans="1:33" ht="11.25" customHeight="1" x14ac:dyDescent="0.3">
      <c r="A33" s="4" t="s">
        <v>21</v>
      </c>
      <c r="B33" s="4" t="s">
        <v>36</v>
      </c>
      <c r="C33" s="4" t="s">
        <v>37</v>
      </c>
      <c r="D33" s="4" t="s">
        <v>35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44501</v>
      </c>
      <c r="J33" s="6">
        <v>0</v>
      </c>
      <c r="K33" s="6">
        <v>0</v>
      </c>
      <c r="L33" s="6">
        <v>12.537000000000001</v>
      </c>
      <c r="M33" s="6">
        <v>12.537000000000001</v>
      </c>
      <c r="N33" s="6">
        <v>12.537000000000001</v>
      </c>
      <c r="O33" s="6">
        <v>12.537000000000001</v>
      </c>
      <c r="P33" s="6">
        <v>0</v>
      </c>
      <c r="Q33" s="4" t="s">
        <v>26</v>
      </c>
      <c r="R33" s="4">
        <v>0</v>
      </c>
      <c r="S33" s="6">
        <v>0</v>
      </c>
      <c r="T33" s="6">
        <v>83</v>
      </c>
      <c r="U33" s="6">
        <v>53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3711.27</v>
      </c>
      <c r="X33" s="6">
        <f>IF(ISERROR(VLOOKUP($U$33,'TAR FIN'!$A$1:$O$85,15,0)),0,VLOOKUP($U$33,'TAR FIN'!$A$1:$O$85,15,0))</f>
        <v>201.73</v>
      </c>
      <c r="Y33" s="6"/>
      <c r="Z33" s="6">
        <f ca="1">('TUSD BE'!$AM$11+'TUSD BF'!$AM$11+'TUSD CVA'!$AM$11)*1</f>
        <v>4852.6786357855317</v>
      </c>
      <c r="AA33" s="6">
        <f>('TE BE'!$AA$5+'TE BF'!$AA$5+'TE CVA'!$AA$5)*1</f>
        <v>225.7947898398177</v>
      </c>
      <c r="AB33" s="6">
        <f>$K$33*$V$33</f>
        <v>0</v>
      </c>
      <c r="AC33" s="6">
        <f>$M$33*$W$33</f>
        <v>46528.191989999999</v>
      </c>
      <c r="AD33" s="6">
        <f>$O$33*$X$33</f>
        <v>2529.0890100000001</v>
      </c>
      <c r="AE33" s="6">
        <f>$K$33*$Y$33</f>
        <v>0</v>
      </c>
      <c r="AF33" s="6">
        <f ca="1">$M$33*$Z$33</f>
        <v>60838.032056843214</v>
      </c>
      <c r="AG33" s="6">
        <f>$O$33*$AA$33</f>
        <v>2830.7892802217948</v>
      </c>
    </row>
    <row r="34" spans="1:33" ht="11.25" customHeight="1" x14ac:dyDescent="0.3">
      <c r="A34" s="4" t="s">
        <v>21</v>
      </c>
      <c r="B34" s="4" t="s">
        <v>36</v>
      </c>
      <c r="C34" s="4" t="s">
        <v>37</v>
      </c>
      <c r="D34" s="4" t="s">
        <v>35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44531</v>
      </c>
      <c r="J34" s="6">
        <v>0</v>
      </c>
      <c r="K34" s="6">
        <v>0</v>
      </c>
      <c r="L34" s="6">
        <v>15.211</v>
      </c>
      <c r="M34" s="6">
        <v>15.211</v>
      </c>
      <c r="N34" s="6">
        <v>15.211</v>
      </c>
      <c r="O34" s="6">
        <v>15.211</v>
      </c>
      <c r="P34" s="6">
        <v>0</v>
      </c>
      <c r="Q34" s="4" t="s">
        <v>26</v>
      </c>
      <c r="R34" s="4">
        <v>0</v>
      </c>
      <c r="S34" s="6">
        <v>0</v>
      </c>
      <c r="T34" s="6">
        <v>83</v>
      </c>
      <c r="U34" s="6">
        <v>53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3711.27</v>
      </c>
      <c r="X34" s="6">
        <f>IF(ISERROR(VLOOKUP($U$34,'TAR FIN'!$A$1:$O$85,15,0)),0,VLOOKUP($U$34,'TAR FIN'!$A$1:$O$85,15,0))</f>
        <v>201.73</v>
      </c>
      <c r="Y34" s="6"/>
      <c r="Z34" s="6">
        <f ca="1">('TUSD BE'!$AM$11+'TUSD BF'!$AM$11+'TUSD CVA'!$AM$11)*1</f>
        <v>4852.6786357855317</v>
      </c>
      <c r="AA34" s="6">
        <f>('TE BE'!$AA$5+'TE BF'!$AA$5+'TE CVA'!$AA$5)*1</f>
        <v>225.7947898398177</v>
      </c>
      <c r="AB34" s="6">
        <f>$K$34*$V$34</f>
        <v>0</v>
      </c>
      <c r="AC34" s="6">
        <f>$M$34*$W$34</f>
        <v>56452.127970000001</v>
      </c>
      <c r="AD34" s="6">
        <f>$O$34*$X$34</f>
        <v>3068.51503</v>
      </c>
      <c r="AE34" s="6">
        <f>$K$34*$Y$34</f>
        <v>0</v>
      </c>
      <c r="AF34" s="6">
        <f ca="1">$M$34*$Z$34</f>
        <v>73814.09472893372</v>
      </c>
      <c r="AG34" s="6">
        <f>$O$34*$AA$34</f>
        <v>3434.5645482534669</v>
      </c>
    </row>
    <row r="35" spans="1:33" ht="11.25" customHeight="1" x14ac:dyDescent="0.3">
      <c r="A35" s="4" t="s">
        <v>21</v>
      </c>
      <c r="B35" s="4" t="s">
        <v>36</v>
      </c>
      <c r="C35" s="4" t="s">
        <v>37</v>
      </c>
      <c r="D35" s="4" t="s">
        <v>35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44562</v>
      </c>
      <c r="J35" s="6">
        <v>0</v>
      </c>
      <c r="K35" s="6">
        <v>0</v>
      </c>
      <c r="L35" s="6">
        <v>14.808999999999999</v>
      </c>
      <c r="M35" s="6">
        <v>14.808999999999999</v>
      </c>
      <c r="N35" s="6">
        <v>14.808999999999999</v>
      </c>
      <c r="O35" s="6">
        <v>14.808999999999999</v>
      </c>
      <c r="P35" s="6">
        <v>0</v>
      </c>
      <c r="Q35" s="4" t="s">
        <v>26</v>
      </c>
      <c r="R35" s="4">
        <v>0</v>
      </c>
      <c r="S35" s="6">
        <v>0</v>
      </c>
      <c r="T35" s="6">
        <v>83</v>
      </c>
      <c r="U35" s="6">
        <v>53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3711.27</v>
      </c>
      <c r="X35" s="6">
        <f>IF(ISERROR(VLOOKUP($U$35,'TAR FIN'!$A$1:$O$85,15,0)),0,VLOOKUP($U$35,'TAR FIN'!$A$1:$O$85,15,0))</f>
        <v>201.73</v>
      </c>
      <c r="Y35" s="6"/>
      <c r="Z35" s="6">
        <f ca="1">('TUSD BE'!$AM$11+'TUSD BF'!$AM$11+'TUSD CVA'!$AM$11)*1</f>
        <v>4852.6786357855317</v>
      </c>
      <c r="AA35" s="6">
        <f>('TE BE'!$AA$5+'TE BF'!$AA$5+'TE CVA'!$AA$5)*1</f>
        <v>225.7947898398177</v>
      </c>
      <c r="AB35" s="6">
        <f>$K$35*$V$35</f>
        <v>0</v>
      </c>
      <c r="AC35" s="6">
        <f>$M$35*$W$35</f>
        <v>54960.19743</v>
      </c>
      <c r="AD35" s="6">
        <f>$O$35*$X$35</f>
        <v>2987.4195699999996</v>
      </c>
      <c r="AE35" s="6">
        <f>$K$35*$Y$35</f>
        <v>0</v>
      </c>
      <c r="AF35" s="6">
        <f ca="1">$M$35*$Z$35</f>
        <v>71863.317917347929</v>
      </c>
      <c r="AG35" s="6">
        <f>$O$35*$AA$35</f>
        <v>3343.7950427378601</v>
      </c>
    </row>
    <row r="36" spans="1:33" ht="11.25" customHeight="1" x14ac:dyDescent="0.3">
      <c r="A36" s="4" t="s">
        <v>21</v>
      </c>
      <c r="B36" s="4" t="s">
        <v>36</v>
      </c>
      <c r="C36" s="4" t="s">
        <v>37</v>
      </c>
      <c r="D36" s="4" t="s">
        <v>35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44593</v>
      </c>
      <c r="J36" s="6">
        <v>0</v>
      </c>
      <c r="K36" s="6">
        <v>0</v>
      </c>
      <c r="L36" s="6">
        <v>10.999000000000001</v>
      </c>
      <c r="M36" s="6">
        <v>10.999000000000001</v>
      </c>
      <c r="N36" s="6">
        <v>10.999000000000001</v>
      </c>
      <c r="O36" s="6">
        <v>10.999000000000001</v>
      </c>
      <c r="P36" s="6">
        <v>0</v>
      </c>
      <c r="Q36" s="4" t="s">
        <v>26</v>
      </c>
      <c r="R36" s="4">
        <v>0</v>
      </c>
      <c r="S36" s="6">
        <v>0</v>
      </c>
      <c r="T36" s="6">
        <v>83</v>
      </c>
      <c r="U36" s="6">
        <v>53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3711.27</v>
      </c>
      <c r="X36" s="6">
        <f>IF(ISERROR(VLOOKUP($U$36,'TAR FIN'!$A$1:$O$85,15,0)),0,VLOOKUP($U$36,'TAR FIN'!$A$1:$O$85,15,0))</f>
        <v>201.73</v>
      </c>
      <c r="Y36" s="6"/>
      <c r="Z36" s="6">
        <f ca="1">('TUSD BE'!$AM$11+'TUSD BF'!$AM$11+'TUSD CVA'!$AM$11)*1</f>
        <v>4852.6786357855317</v>
      </c>
      <c r="AA36" s="6">
        <f>('TE BE'!$AA$5+'TE BF'!$AA$5+'TE CVA'!$AA$5)*1</f>
        <v>225.7947898398177</v>
      </c>
      <c r="AB36" s="6">
        <f>$K$36*$V$36</f>
        <v>0</v>
      </c>
      <c r="AC36" s="6">
        <f>$M$36*$W$36</f>
        <v>40820.258730000001</v>
      </c>
      <c r="AD36" s="6">
        <f>$O$36*$X$36</f>
        <v>2218.82827</v>
      </c>
      <c r="AE36" s="6">
        <f>$K$36*$Y$36</f>
        <v>0</v>
      </c>
      <c r="AF36" s="6">
        <f ca="1">$M$36*$Z$36</f>
        <v>53374.612315005063</v>
      </c>
      <c r="AG36" s="6">
        <f>$O$36*$AA$36</f>
        <v>2483.5168934481549</v>
      </c>
    </row>
    <row r="37" spans="1:33" ht="11.25" customHeight="1" x14ac:dyDescent="0.3">
      <c r="A37" s="4" t="s">
        <v>21</v>
      </c>
      <c r="B37" s="4" t="s">
        <v>36</v>
      </c>
      <c r="C37" s="4" t="s">
        <v>37</v>
      </c>
      <c r="D37" s="4" t="s">
        <v>35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44621</v>
      </c>
      <c r="J37" s="6">
        <v>0</v>
      </c>
      <c r="K37" s="6">
        <v>0</v>
      </c>
      <c r="L37" s="6">
        <v>14.484</v>
      </c>
      <c r="M37" s="6">
        <v>14.484</v>
      </c>
      <c r="N37" s="6">
        <v>14.484</v>
      </c>
      <c r="O37" s="6">
        <v>14.484</v>
      </c>
      <c r="P37" s="6">
        <v>0</v>
      </c>
      <c r="Q37" s="4" t="s">
        <v>26</v>
      </c>
      <c r="R37" s="4">
        <v>0</v>
      </c>
      <c r="S37" s="6">
        <v>0</v>
      </c>
      <c r="T37" s="6">
        <v>83</v>
      </c>
      <c r="U37" s="6">
        <v>53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3711.27</v>
      </c>
      <c r="X37" s="6">
        <f>IF(ISERROR(VLOOKUP($U$37,'TAR FIN'!$A$1:$O$85,15,0)),0,VLOOKUP($U$37,'TAR FIN'!$A$1:$O$85,15,0))</f>
        <v>201.73</v>
      </c>
      <c r="Y37" s="6"/>
      <c r="Z37" s="6">
        <f ca="1">('TUSD BE'!$AM$11+'TUSD BF'!$AM$11+'TUSD CVA'!$AM$11)*1</f>
        <v>4852.6786357855317</v>
      </c>
      <c r="AA37" s="6">
        <f>('TE BE'!$AA$5+'TE BF'!$AA$5+'TE CVA'!$AA$5)*1</f>
        <v>225.7947898398177</v>
      </c>
      <c r="AB37" s="6">
        <f>$K$37*$V$37</f>
        <v>0</v>
      </c>
      <c r="AC37" s="6">
        <f>$M$37*$W$37</f>
        <v>53754.034679999997</v>
      </c>
      <c r="AD37" s="6">
        <f>$O$37*$X$37</f>
        <v>2921.8573200000001</v>
      </c>
      <c r="AE37" s="6">
        <f>$K$37*$Y$37</f>
        <v>0</v>
      </c>
      <c r="AF37" s="6">
        <f ca="1">$M$37*$Z$37</f>
        <v>70286.197360717648</v>
      </c>
      <c r="AG37" s="6">
        <f>$O$37*$AA$37</f>
        <v>3270.4117360399196</v>
      </c>
    </row>
    <row r="38" spans="1:33" ht="11.25" customHeight="1" x14ac:dyDescent="0.3">
      <c r="A38" s="4" t="s">
        <v>21</v>
      </c>
      <c r="B38" s="4" t="s">
        <v>36</v>
      </c>
      <c r="C38" s="4" t="s">
        <v>37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39</v>
      </c>
      <c r="I38" s="5">
        <v>44531</v>
      </c>
      <c r="J38" s="6">
        <v>0</v>
      </c>
      <c r="K38" s="6">
        <v>0</v>
      </c>
      <c r="L38" s="6">
        <v>26.175999999999998</v>
      </c>
      <c r="M38" s="6">
        <v>26.175999999999998</v>
      </c>
      <c r="N38" s="6">
        <v>26.175999999999998</v>
      </c>
      <c r="O38" s="6">
        <v>26.175999999999998</v>
      </c>
      <c r="P38" s="6">
        <v>0</v>
      </c>
      <c r="Q38" s="4" t="s">
        <v>26</v>
      </c>
      <c r="R38" s="4">
        <v>0</v>
      </c>
      <c r="S38" s="6">
        <v>0</v>
      </c>
      <c r="T38" s="6">
        <v>84</v>
      </c>
      <c r="U38" s="6">
        <v>34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123.21</v>
      </c>
      <c r="X38" s="6">
        <f>IF(ISERROR(VLOOKUP($U$38,'TAR FIN'!$A$1:$O$85,15,0)),0,VLOOKUP($U$38,'TAR FIN'!$A$1:$O$85,15,0))</f>
        <v>201.73</v>
      </c>
      <c r="Y38" s="6"/>
      <c r="Z38" s="6">
        <f ca="1">('TUSD BE'!$AM$12+'TUSD BF'!$AM$12+'TUSD CVA'!$AM$12)*1</f>
        <v>135.58316981747089</v>
      </c>
      <c r="AA38" s="6">
        <f>('TE BE'!$AA$6+'TE BF'!$AA$6+'TE CVA'!$AA$6)*1</f>
        <v>225.7947898398177</v>
      </c>
      <c r="AB38" s="6">
        <f>$K$38*$V$38</f>
        <v>0</v>
      </c>
      <c r="AC38" s="6">
        <f>$M$38*$W$38</f>
        <v>3225.1449599999996</v>
      </c>
      <c r="AD38" s="6">
        <f>$O$38*$X$38</f>
        <v>5280.4844799999992</v>
      </c>
      <c r="AE38" s="6">
        <f>$K$38*$Y$38</f>
        <v>0</v>
      </c>
      <c r="AF38" s="6">
        <f ca="1">$M$38*$Z$38</f>
        <v>3549.0250531421179</v>
      </c>
      <c r="AG38" s="6">
        <f>$O$38*$AA$38</f>
        <v>5910.404418847068</v>
      </c>
    </row>
    <row r="39" spans="1:33" ht="11.25" customHeight="1" x14ac:dyDescent="0.3">
      <c r="A39" s="4" t="s">
        <v>21</v>
      </c>
      <c r="B39" s="4" t="s">
        <v>36</v>
      </c>
      <c r="C39" s="4" t="s">
        <v>37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39</v>
      </c>
      <c r="I39" s="5">
        <v>44562</v>
      </c>
      <c r="J39" s="6">
        <v>0</v>
      </c>
      <c r="K39" s="6">
        <v>0</v>
      </c>
      <c r="L39" s="6">
        <v>25.919</v>
      </c>
      <c r="M39" s="6">
        <v>25.919</v>
      </c>
      <c r="N39" s="6">
        <v>25.919</v>
      </c>
      <c r="O39" s="6">
        <v>25.919</v>
      </c>
      <c r="P39" s="6">
        <v>0</v>
      </c>
      <c r="Q39" s="4" t="s">
        <v>26</v>
      </c>
      <c r="R39" s="4">
        <v>0</v>
      </c>
      <c r="S39" s="6">
        <v>0</v>
      </c>
      <c r="T39" s="6">
        <v>84</v>
      </c>
      <c r="U39" s="6">
        <v>34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123.21</v>
      </c>
      <c r="X39" s="6">
        <f>IF(ISERROR(VLOOKUP($U$39,'TAR FIN'!$A$1:$O$85,15,0)),0,VLOOKUP($U$39,'TAR FIN'!$A$1:$O$85,15,0))</f>
        <v>201.73</v>
      </c>
      <c r="Y39" s="6"/>
      <c r="Z39" s="6">
        <f ca="1">('TUSD BE'!$AM$12+'TUSD BF'!$AM$12+'TUSD CVA'!$AM$12)*1</f>
        <v>135.58316981747089</v>
      </c>
      <c r="AA39" s="6">
        <f>('TE BE'!$AA$6+'TE BF'!$AA$6+'TE CVA'!$AA$6)*1</f>
        <v>225.7947898398177</v>
      </c>
      <c r="AB39" s="6">
        <f>$K$39*$V$39</f>
        <v>0</v>
      </c>
      <c r="AC39" s="6">
        <f>$M$39*$W$39</f>
        <v>3193.4799899999998</v>
      </c>
      <c r="AD39" s="6">
        <f>$O$39*$X$39</f>
        <v>5228.63987</v>
      </c>
      <c r="AE39" s="6">
        <f>$K$39*$Y$39</f>
        <v>0</v>
      </c>
      <c r="AF39" s="6">
        <f ca="1">$M$39*$Z$39</f>
        <v>3514.180178499028</v>
      </c>
      <c r="AG39" s="6">
        <f>$O$39*$AA$39</f>
        <v>5852.3751578582351</v>
      </c>
    </row>
    <row r="40" spans="1:33" ht="11.25" customHeight="1" x14ac:dyDescent="0.3">
      <c r="A40" s="4" t="s">
        <v>21</v>
      </c>
      <c r="B40" s="4" t="s">
        <v>36</v>
      </c>
      <c r="C40" s="4" t="s">
        <v>37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39</v>
      </c>
      <c r="I40" s="5">
        <v>44593</v>
      </c>
      <c r="J40" s="6">
        <v>0</v>
      </c>
      <c r="K40" s="6">
        <v>0</v>
      </c>
      <c r="L40" s="6">
        <v>24.227</v>
      </c>
      <c r="M40" s="6">
        <v>24.227</v>
      </c>
      <c r="N40" s="6">
        <v>24.227</v>
      </c>
      <c r="O40" s="6">
        <v>24.227</v>
      </c>
      <c r="P40" s="6">
        <v>0</v>
      </c>
      <c r="Q40" s="4" t="s">
        <v>26</v>
      </c>
      <c r="R40" s="4">
        <v>0</v>
      </c>
      <c r="S40" s="6">
        <v>0</v>
      </c>
      <c r="T40" s="6">
        <v>84</v>
      </c>
      <c r="U40" s="6">
        <v>34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123.21</v>
      </c>
      <c r="X40" s="6">
        <f>IF(ISERROR(VLOOKUP($U$40,'TAR FIN'!$A$1:$O$85,15,0)),0,VLOOKUP($U$40,'TAR FIN'!$A$1:$O$85,15,0))</f>
        <v>201.73</v>
      </c>
      <c r="Y40" s="6"/>
      <c r="Z40" s="6">
        <f ca="1">('TUSD BE'!$AM$12+'TUSD BF'!$AM$12+'TUSD CVA'!$AM$12)*1</f>
        <v>135.58316981747089</v>
      </c>
      <c r="AA40" s="6">
        <f>('TE BE'!$AA$6+'TE BF'!$AA$6+'TE CVA'!$AA$6)*1</f>
        <v>225.7947898398177</v>
      </c>
      <c r="AB40" s="6">
        <f>$K$40*$V$40</f>
        <v>0</v>
      </c>
      <c r="AC40" s="6">
        <f>$M$40*$W$40</f>
        <v>2985.0086699999997</v>
      </c>
      <c r="AD40" s="6">
        <f>$O$40*$X$40</f>
        <v>4887.3127100000002</v>
      </c>
      <c r="AE40" s="6">
        <f>$K$40*$Y$40</f>
        <v>0</v>
      </c>
      <c r="AF40" s="6">
        <f ca="1">$M$40*$Z$40</f>
        <v>3284.7734551678673</v>
      </c>
      <c r="AG40" s="6">
        <f>$O$40*$AA$40</f>
        <v>5470.3303734492638</v>
      </c>
    </row>
    <row r="41" spans="1:33" ht="11.25" customHeight="1" x14ac:dyDescent="0.3">
      <c r="A41" s="4" t="s">
        <v>21</v>
      </c>
      <c r="B41" s="4" t="s">
        <v>36</v>
      </c>
      <c r="C41" s="4" t="s">
        <v>37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39</v>
      </c>
      <c r="I41" s="5">
        <v>44621</v>
      </c>
      <c r="J41" s="6">
        <v>0</v>
      </c>
      <c r="K41" s="6">
        <v>0</v>
      </c>
      <c r="L41" s="6">
        <v>27.097000000000001</v>
      </c>
      <c r="M41" s="6">
        <v>27.097000000000001</v>
      </c>
      <c r="N41" s="6">
        <v>27.097000000000001</v>
      </c>
      <c r="O41" s="6">
        <v>27.097000000000001</v>
      </c>
      <c r="P41" s="6">
        <v>0</v>
      </c>
      <c r="Q41" s="4" t="s">
        <v>26</v>
      </c>
      <c r="R41" s="4">
        <v>0</v>
      </c>
      <c r="S41" s="6">
        <v>0</v>
      </c>
      <c r="T41" s="6">
        <v>84</v>
      </c>
      <c r="U41" s="6">
        <v>34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123.21</v>
      </c>
      <c r="X41" s="6">
        <f>IF(ISERROR(VLOOKUP($U$41,'TAR FIN'!$A$1:$O$85,15,0)),0,VLOOKUP($U$41,'TAR FIN'!$A$1:$O$85,15,0))</f>
        <v>201.73</v>
      </c>
      <c r="Y41" s="6"/>
      <c r="Z41" s="6">
        <f ca="1">('TUSD BE'!$AM$12+'TUSD BF'!$AM$12+'TUSD CVA'!$AM$12)*1</f>
        <v>135.58316981747089</v>
      </c>
      <c r="AA41" s="6">
        <f>('TE BE'!$AA$6+'TE BF'!$AA$6+'TE CVA'!$AA$6)*1</f>
        <v>225.7947898398177</v>
      </c>
      <c r="AB41" s="6">
        <f>$K$41*$V$41</f>
        <v>0</v>
      </c>
      <c r="AC41" s="6">
        <f>$M$41*$W$41</f>
        <v>3338.6213699999998</v>
      </c>
      <c r="AD41" s="6">
        <f>$O$41*$X$41</f>
        <v>5466.2778099999996</v>
      </c>
      <c r="AE41" s="6">
        <f>$K$41*$Y$41</f>
        <v>0</v>
      </c>
      <c r="AF41" s="6">
        <f ca="1">$M$41*$Z$41</f>
        <v>3673.8971525440088</v>
      </c>
      <c r="AG41" s="6">
        <f>$O$41*$AA$41</f>
        <v>6118.3614202895405</v>
      </c>
    </row>
    <row r="42" spans="1:33" ht="11.25" customHeight="1" x14ac:dyDescent="0.3">
      <c r="A42" s="4" t="s">
        <v>21</v>
      </c>
      <c r="B42" s="4" t="s">
        <v>36</v>
      </c>
      <c r="C42" s="4" t="s">
        <v>37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125</v>
      </c>
      <c r="K42" s="6">
        <v>125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4" t="s">
        <v>26</v>
      </c>
      <c r="R42" s="4">
        <v>0</v>
      </c>
      <c r="S42" s="6">
        <v>80</v>
      </c>
      <c r="T42" s="6">
        <v>0</v>
      </c>
      <c r="U42" s="6">
        <v>0</v>
      </c>
      <c r="V42" s="6">
        <f>IF(ISERROR(VLOOKUP($S$42,'TAR FIN'!$A$1:$O$85,15,0)),0,VLOOKUP($S$42,'TAR FIN'!$A$1:$O$85,15,0))</f>
        <v>53.08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68.856304175014913</v>
      </c>
      <c r="Z42" s="6"/>
      <c r="AA42" s="6"/>
      <c r="AB42" s="6">
        <f>$K$42*$V$42</f>
        <v>6635</v>
      </c>
      <c r="AC42" s="6">
        <f>$M$42*$W$42</f>
        <v>0</v>
      </c>
      <c r="AD42" s="6">
        <f>$O$42*$X$42</f>
        <v>0</v>
      </c>
      <c r="AE42" s="6">
        <f ca="1">$K$42*$Y$42</f>
        <v>8607.0380218768641</v>
      </c>
      <c r="AF42" s="6">
        <f>$M$42*$Z$42</f>
        <v>0</v>
      </c>
      <c r="AG42" s="6">
        <f>$O$42*$AA$42</f>
        <v>0</v>
      </c>
    </row>
    <row r="43" spans="1:33" ht="11.25" customHeight="1" x14ac:dyDescent="0.3">
      <c r="A43" s="4" t="s">
        <v>21</v>
      </c>
      <c r="B43" s="4" t="s">
        <v>36</v>
      </c>
      <c r="C43" s="4" t="s">
        <v>37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125</v>
      </c>
      <c r="K43" s="6">
        <v>125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6">
        <v>80</v>
      </c>
      <c r="T43" s="6">
        <v>0</v>
      </c>
      <c r="U43" s="6">
        <v>0</v>
      </c>
      <c r="V43" s="6">
        <f>IF(ISERROR(VLOOKUP($S$43,'TAR FIN'!$A$1:$O$85,15,0)),0,VLOOKUP($S$43,'TAR FIN'!$A$1:$O$85,15,0))</f>
        <v>53.08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68.856304175014913</v>
      </c>
      <c r="Z43" s="6"/>
      <c r="AA43" s="6"/>
      <c r="AB43" s="6">
        <f>$K$43*$V$43</f>
        <v>6635</v>
      </c>
      <c r="AC43" s="6">
        <f>$M$43*$W$43</f>
        <v>0</v>
      </c>
      <c r="AD43" s="6">
        <f>$O$43*$X$43</f>
        <v>0</v>
      </c>
      <c r="AE43" s="6">
        <f ca="1">$K$43*$Y$43</f>
        <v>8607.0380218768641</v>
      </c>
      <c r="AF43" s="6">
        <f>$M$43*$Z$43</f>
        <v>0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36</v>
      </c>
      <c r="C44" s="4" t="s">
        <v>37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125</v>
      </c>
      <c r="K44" s="6">
        <v>125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4" t="s">
        <v>26</v>
      </c>
      <c r="R44" s="4">
        <v>0</v>
      </c>
      <c r="S44" s="6">
        <v>80</v>
      </c>
      <c r="T44" s="6">
        <v>0</v>
      </c>
      <c r="U44" s="6">
        <v>0</v>
      </c>
      <c r="V44" s="6">
        <f>IF(ISERROR(VLOOKUP($S$44,'TAR FIN'!$A$1:$O$85,15,0)),0,VLOOKUP($S$44,'TAR FIN'!$A$1:$O$85,15,0))</f>
        <v>53.08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68.856304175014913</v>
      </c>
      <c r="Z44" s="6"/>
      <c r="AA44" s="6"/>
      <c r="AB44" s="6">
        <f>$K$44*$V$44</f>
        <v>6635</v>
      </c>
      <c r="AC44" s="6">
        <f>$M$44*$W$44</f>
        <v>0</v>
      </c>
      <c r="AD44" s="6">
        <f>$O$44*$X$44</f>
        <v>0</v>
      </c>
      <c r="AE44" s="6">
        <f ca="1">$K$44*$Y$44</f>
        <v>8607.0380218768641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21</v>
      </c>
      <c r="B45" s="4" t="s">
        <v>36</v>
      </c>
      <c r="C45" s="4" t="s">
        <v>37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125</v>
      </c>
      <c r="K45" s="6">
        <v>125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6">
        <v>80</v>
      </c>
      <c r="T45" s="6">
        <v>0</v>
      </c>
      <c r="U45" s="6">
        <v>0</v>
      </c>
      <c r="V45" s="6">
        <f>IF(ISERROR(VLOOKUP($S$45,'TAR FIN'!$A$1:$O$85,15,0)),0,VLOOKUP($S$45,'TAR FIN'!$A$1:$O$85,15,0))</f>
        <v>53.08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68.856304175014913</v>
      </c>
      <c r="Z45" s="6"/>
      <c r="AA45" s="6"/>
      <c r="AB45" s="6">
        <f>$K$45*$V$45</f>
        <v>6635</v>
      </c>
      <c r="AC45" s="6">
        <f>$M$45*$W$45</f>
        <v>0</v>
      </c>
      <c r="AD45" s="6">
        <f>$O$45*$X$45</f>
        <v>0</v>
      </c>
      <c r="AE45" s="6">
        <f ca="1">$K$45*$Y$45</f>
        <v>8607.0380218768641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36</v>
      </c>
      <c r="C46" s="4" t="s">
        <v>37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44531</v>
      </c>
      <c r="J46" s="6">
        <v>0</v>
      </c>
      <c r="K46" s="6">
        <v>0</v>
      </c>
      <c r="L46" s="6">
        <v>0.32</v>
      </c>
      <c r="M46" s="6">
        <v>0.32</v>
      </c>
      <c r="N46" s="6">
        <v>0.32</v>
      </c>
      <c r="O46" s="6">
        <v>0.32</v>
      </c>
      <c r="P46" s="6">
        <v>0</v>
      </c>
      <c r="Q46" s="4" t="s">
        <v>26</v>
      </c>
      <c r="R46" s="4">
        <v>0</v>
      </c>
      <c r="S46" s="6">
        <v>0</v>
      </c>
      <c r="T46" s="6">
        <v>83</v>
      </c>
      <c r="U46" s="6">
        <v>53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3711.27</v>
      </c>
      <c r="X46" s="6">
        <f>IF(ISERROR(VLOOKUP($U$46,'TAR FIN'!$A$1:$O$85,15,0)),0,VLOOKUP($U$46,'TAR FIN'!$A$1:$O$85,15,0))</f>
        <v>201.73</v>
      </c>
      <c r="Y46" s="6"/>
      <c r="Z46" s="6">
        <f ca="1">('TUSD BE'!$AM$11+'TUSD BF'!$AM$11+'TUSD CVA'!$AM$11)*1</f>
        <v>4852.6786357855317</v>
      </c>
      <c r="AA46" s="6">
        <f>('TE BE'!$AA$5+'TE BF'!$AA$5+'TE CVA'!$AA$5)*1</f>
        <v>225.7947898398177</v>
      </c>
      <c r="AB46" s="6">
        <f>$K$46*$V$46</f>
        <v>0</v>
      </c>
      <c r="AC46" s="6">
        <f>$M$46*$W$46</f>
        <v>1187.6064000000001</v>
      </c>
      <c r="AD46" s="6">
        <f>$O$46*$X$46</f>
        <v>64.553600000000003</v>
      </c>
      <c r="AE46" s="6">
        <f>$K$46*$Y$46</f>
        <v>0</v>
      </c>
      <c r="AF46" s="6">
        <f ca="1">$M$46*$Z$46</f>
        <v>1552.8571634513701</v>
      </c>
      <c r="AG46" s="6">
        <f>$O$46*$AA$46</f>
        <v>72.25433274874166</v>
      </c>
    </row>
    <row r="47" spans="1:33" ht="11.25" customHeight="1" x14ac:dyDescent="0.3">
      <c r="A47" s="4" t="s">
        <v>21</v>
      </c>
      <c r="B47" s="4" t="s">
        <v>36</v>
      </c>
      <c r="C47" s="4" t="s">
        <v>37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44562</v>
      </c>
      <c r="J47" s="6">
        <v>0</v>
      </c>
      <c r="K47" s="6">
        <v>0</v>
      </c>
      <c r="L47" s="6">
        <v>0.307</v>
      </c>
      <c r="M47" s="6">
        <v>0.307</v>
      </c>
      <c r="N47" s="6">
        <v>0.307</v>
      </c>
      <c r="O47" s="6">
        <v>0.307</v>
      </c>
      <c r="P47" s="6">
        <v>0</v>
      </c>
      <c r="Q47" s="4" t="s">
        <v>26</v>
      </c>
      <c r="R47" s="4">
        <v>0</v>
      </c>
      <c r="S47" s="6">
        <v>0</v>
      </c>
      <c r="T47" s="6">
        <v>83</v>
      </c>
      <c r="U47" s="6">
        <v>53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3711.27</v>
      </c>
      <c r="X47" s="6">
        <f>IF(ISERROR(VLOOKUP($U$47,'TAR FIN'!$A$1:$O$85,15,0)),0,VLOOKUP($U$47,'TAR FIN'!$A$1:$O$85,15,0))</f>
        <v>201.73</v>
      </c>
      <c r="Y47" s="6"/>
      <c r="Z47" s="6">
        <f ca="1">('TUSD BE'!$AM$11+'TUSD BF'!$AM$11+'TUSD CVA'!$AM$11)*1</f>
        <v>4852.6786357855317</v>
      </c>
      <c r="AA47" s="6">
        <f>('TE BE'!$AA$5+'TE BF'!$AA$5+'TE CVA'!$AA$5)*1</f>
        <v>225.7947898398177</v>
      </c>
      <c r="AB47" s="6">
        <f>$K$47*$V$47</f>
        <v>0</v>
      </c>
      <c r="AC47" s="6">
        <f>$M$47*$W$47</f>
        <v>1139.35989</v>
      </c>
      <c r="AD47" s="6">
        <f>$O$47*$X$47</f>
        <v>61.931109999999997</v>
      </c>
      <c r="AE47" s="6">
        <f>$K$47*$Y$47</f>
        <v>0</v>
      </c>
      <c r="AF47" s="6">
        <f ca="1">$M$47*$Z$47</f>
        <v>1489.7723411861582</v>
      </c>
      <c r="AG47" s="6">
        <f>$O$47*$AA$47</f>
        <v>69.31900048082403</v>
      </c>
    </row>
    <row r="48" spans="1:33" ht="11.25" customHeight="1" x14ac:dyDescent="0.3">
      <c r="A48" s="4" t="s">
        <v>21</v>
      </c>
      <c r="B48" s="4" t="s">
        <v>36</v>
      </c>
      <c r="C48" s="4" t="s">
        <v>37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44593</v>
      </c>
      <c r="J48" s="6">
        <v>0</v>
      </c>
      <c r="K48" s="6">
        <v>0</v>
      </c>
      <c r="L48" s="6">
        <v>0.26600000000000001</v>
      </c>
      <c r="M48" s="6">
        <v>0.26600000000000001</v>
      </c>
      <c r="N48" s="6">
        <v>0.26600000000000001</v>
      </c>
      <c r="O48" s="6">
        <v>0.26600000000000001</v>
      </c>
      <c r="P48" s="6">
        <v>0</v>
      </c>
      <c r="Q48" s="4" t="s">
        <v>26</v>
      </c>
      <c r="R48" s="4">
        <v>0</v>
      </c>
      <c r="S48" s="6">
        <v>0</v>
      </c>
      <c r="T48" s="6">
        <v>83</v>
      </c>
      <c r="U48" s="6">
        <v>53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3711.27</v>
      </c>
      <c r="X48" s="6">
        <f>IF(ISERROR(VLOOKUP($U$48,'TAR FIN'!$A$1:$O$85,15,0)),0,VLOOKUP($U$48,'TAR FIN'!$A$1:$O$85,15,0))</f>
        <v>201.73</v>
      </c>
      <c r="Y48" s="6"/>
      <c r="Z48" s="6">
        <f ca="1">('TUSD BE'!$AM$11+'TUSD BF'!$AM$11+'TUSD CVA'!$AM$11)*1</f>
        <v>4852.6786357855317</v>
      </c>
      <c r="AA48" s="6">
        <f>('TE BE'!$AA$5+'TE BF'!$AA$5+'TE CVA'!$AA$5)*1</f>
        <v>225.7947898398177</v>
      </c>
      <c r="AB48" s="6">
        <f>$K$48*$V$48</f>
        <v>0</v>
      </c>
      <c r="AC48" s="6">
        <f>$M$48*$W$48</f>
        <v>987.19782000000009</v>
      </c>
      <c r="AD48" s="6">
        <f>$O$48*$X$48</f>
        <v>53.660179999999997</v>
      </c>
      <c r="AE48" s="6">
        <f>$K$48*$Y$48</f>
        <v>0</v>
      </c>
      <c r="AF48" s="6">
        <f ca="1">$M$48*$Z$48</f>
        <v>1290.8125171189515</v>
      </c>
      <c r="AG48" s="6">
        <f>$O$48*$AA$48</f>
        <v>60.061414097391513</v>
      </c>
    </row>
    <row r="49" spans="1:33" ht="11.25" customHeight="1" x14ac:dyDescent="0.3">
      <c r="A49" s="4" t="s">
        <v>21</v>
      </c>
      <c r="B49" s="4" t="s">
        <v>36</v>
      </c>
      <c r="C49" s="4" t="s">
        <v>37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44621</v>
      </c>
      <c r="J49" s="6">
        <v>0</v>
      </c>
      <c r="K49" s="6">
        <v>0</v>
      </c>
      <c r="L49" s="6">
        <v>0.31</v>
      </c>
      <c r="M49" s="6">
        <v>0.31</v>
      </c>
      <c r="N49" s="6">
        <v>0.31</v>
      </c>
      <c r="O49" s="6">
        <v>0.31</v>
      </c>
      <c r="P49" s="6">
        <v>0</v>
      </c>
      <c r="Q49" s="4" t="s">
        <v>26</v>
      </c>
      <c r="R49" s="4">
        <v>0</v>
      </c>
      <c r="S49" s="6">
        <v>0</v>
      </c>
      <c r="T49" s="6">
        <v>83</v>
      </c>
      <c r="U49" s="6">
        <v>53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3711.27</v>
      </c>
      <c r="X49" s="6">
        <f>IF(ISERROR(VLOOKUP($U$49,'TAR FIN'!$A$1:$O$85,15,0)),0,VLOOKUP($U$49,'TAR FIN'!$A$1:$O$85,15,0))</f>
        <v>201.73</v>
      </c>
      <c r="Y49" s="6"/>
      <c r="Z49" s="6">
        <f ca="1">('TUSD BE'!$AM$11+'TUSD BF'!$AM$11+'TUSD CVA'!$AM$11)*1</f>
        <v>4852.6786357855317</v>
      </c>
      <c r="AA49" s="6">
        <f>('TE BE'!$AA$5+'TE BF'!$AA$5+'TE CVA'!$AA$5)*1</f>
        <v>225.7947898398177</v>
      </c>
      <c r="AB49" s="6">
        <f>$K$49*$V$49</f>
        <v>0</v>
      </c>
      <c r="AC49" s="6">
        <f>$M$49*$W$49</f>
        <v>1150.4937</v>
      </c>
      <c r="AD49" s="6">
        <f>$O$49*$X$49</f>
        <v>62.536299999999997</v>
      </c>
      <c r="AE49" s="6">
        <f>$K$49*$Y$49</f>
        <v>0</v>
      </c>
      <c r="AF49" s="6">
        <f ca="1">$M$49*$Z$49</f>
        <v>1504.3303770935149</v>
      </c>
      <c r="AG49" s="6">
        <f>$O$49*$AA$49</f>
        <v>69.996384850343489</v>
      </c>
    </row>
    <row r="50" spans="1:33" ht="11.25" customHeight="1" x14ac:dyDescent="0.3">
      <c r="A50" s="4" t="s">
        <v>21</v>
      </c>
      <c r="B50" s="4" t="s">
        <v>36</v>
      </c>
      <c r="C50" s="4" t="s">
        <v>37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44287</v>
      </c>
      <c r="J50" s="6">
        <v>0</v>
      </c>
      <c r="K50" s="70">
        <v>0</v>
      </c>
      <c r="L50" s="6">
        <v>25.411000000000001</v>
      </c>
      <c r="M50" s="70">
        <v>25.411000000000001</v>
      </c>
      <c r="N50" s="6">
        <v>25.411000000000001</v>
      </c>
      <c r="O50" s="70">
        <v>25.411000000000001</v>
      </c>
      <c r="P50" s="6">
        <v>0</v>
      </c>
      <c r="Q50" s="4" t="s">
        <v>26</v>
      </c>
      <c r="R50" s="4">
        <v>0</v>
      </c>
      <c r="S50" s="6">
        <v>0</v>
      </c>
      <c r="T50" s="6">
        <v>84</v>
      </c>
      <c r="U50" s="6">
        <v>34</v>
      </c>
      <c r="V50" s="70">
        <f>IF(ISERROR(VLOOKUP($S$50,'TAR FIN'!$A$1:$O$85,15,0)),0,VLOOKUP($S$50,'TAR FIN'!$A$1:$O$85,15,0))</f>
        <v>0</v>
      </c>
      <c r="W50" s="70">
        <f>IF(ISERROR(VLOOKUP($T$50,'TAR FIN'!$A$1:$O$85,15,0)),0,VLOOKUP($T$50,'TAR FIN'!$A$1:$O$85,15,0))*(1-0.04)</f>
        <v>118.28159999999998</v>
      </c>
      <c r="X50" s="70">
        <f>IF(ISERROR(VLOOKUP($U$50,'TAR FIN'!$A$1:$O$85,15,0)),0,VLOOKUP($U$50,'TAR FIN'!$A$1:$O$85,15,0))*(1-0.04)</f>
        <v>193.66079999999999</v>
      </c>
      <c r="Y50" s="70"/>
      <c r="Z50" s="70">
        <f ca="1">('TUSD BE'!$AM$12+'TUSD BF'!$AM$12+'TUSD CVA'!$AM$12)*1*(1-0.02)</f>
        <v>132.87150642112147</v>
      </c>
      <c r="AA50" s="70">
        <f>('TE BE'!$AA$6+'TE BF'!$AA$6+'TE CVA'!$AA$6)*1*(1-0.02)</f>
        <v>221.27889404302132</v>
      </c>
      <c r="AB50" s="6">
        <f>$K$50*$V$50</f>
        <v>0</v>
      </c>
      <c r="AC50" s="6">
        <f>$M$50*$W$50</f>
        <v>3005.6537375999997</v>
      </c>
      <c r="AD50" s="6">
        <f>$O$50*$X$50</f>
        <v>4921.1145888000001</v>
      </c>
      <c r="AE50" s="6">
        <f>$K$50*$Y$50</f>
        <v>0</v>
      </c>
      <c r="AF50" s="6">
        <f ca="1">$M$50*$Z$50</f>
        <v>3376.397849667118</v>
      </c>
      <c r="AG50" s="6">
        <f>$O$50*$AA$50</f>
        <v>5622.9179765272156</v>
      </c>
    </row>
    <row r="51" spans="1:33" ht="11.25" customHeight="1" x14ac:dyDescent="0.3">
      <c r="A51" s="4" t="s">
        <v>21</v>
      </c>
      <c r="B51" s="4" t="s">
        <v>36</v>
      </c>
      <c r="C51" s="4" t="s">
        <v>37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44317</v>
      </c>
      <c r="J51" s="6">
        <v>0</v>
      </c>
      <c r="K51" s="70">
        <v>0</v>
      </c>
      <c r="L51" s="6">
        <v>21.896000000000001</v>
      </c>
      <c r="M51" s="70">
        <v>21.896000000000001</v>
      </c>
      <c r="N51" s="6">
        <v>21.896000000000001</v>
      </c>
      <c r="O51" s="70">
        <v>21.896000000000001</v>
      </c>
      <c r="P51" s="6">
        <v>0</v>
      </c>
      <c r="Q51" s="4" t="s">
        <v>26</v>
      </c>
      <c r="R51" s="4">
        <v>0</v>
      </c>
      <c r="S51" s="6">
        <v>0</v>
      </c>
      <c r="T51" s="6">
        <v>84</v>
      </c>
      <c r="U51" s="6">
        <v>34</v>
      </c>
      <c r="V51" s="70">
        <f>IF(ISERROR(VLOOKUP($S$51,'TAR FIN'!$A$1:$O$85,15,0)),0,VLOOKUP($S$51,'TAR FIN'!$A$1:$O$85,15,0))</f>
        <v>0</v>
      </c>
      <c r="W51" s="70">
        <f>IF(ISERROR(VLOOKUP($T$51,'TAR FIN'!$A$1:$O$85,15,0)),0,VLOOKUP($T$51,'TAR FIN'!$A$1:$O$85,15,0))*(1-0.04)</f>
        <v>118.28159999999998</v>
      </c>
      <c r="X51" s="70">
        <f>IF(ISERROR(VLOOKUP($U$51,'TAR FIN'!$A$1:$O$85,15,0)),0,VLOOKUP($U$51,'TAR FIN'!$A$1:$O$85,15,0))*(1-0.04)</f>
        <v>193.66079999999999</v>
      </c>
      <c r="Y51" s="70"/>
      <c r="Z51" s="70">
        <f ca="1">('TUSD BE'!$AM$12+'TUSD BF'!$AM$12+'TUSD CVA'!$AM$12)*1*(1-0.02)</f>
        <v>132.87150642112147</v>
      </c>
      <c r="AA51" s="70">
        <f>('TE BE'!$AA$6+'TE BF'!$AA$6+'TE CVA'!$AA$6)*1*(1-0.02)</f>
        <v>221.27889404302132</v>
      </c>
      <c r="AB51" s="6">
        <f>$K$51*$V$51</f>
        <v>0</v>
      </c>
      <c r="AC51" s="6">
        <f>$M$51*$W$51</f>
        <v>2589.8939135999999</v>
      </c>
      <c r="AD51" s="6">
        <f>$O$51*$X$51</f>
        <v>4240.3968768000004</v>
      </c>
      <c r="AE51" s="6">
        <f>$K$51*$Y$51</f>
        <v>0</v>
      </c>
      <c r="AF51" s="6">
        <f ca="1">$M$51*$Z$51</f>
        <v>2909.3545045968758</v>
      </c>
      <c r="AG51" s="6">
        <f>$O$51*$AA$51</f>
        <v>4845.1226639659953</v>
      </c>
    </row>
    <row r="52" spans="1:33" ht="11.25" customHeight="1" x14ac:dyDescent="0.3">
      <c r="A52" s="4" t="s">
        <v>21</v>
      </c>
      <c r="B52" s="4" t="s">
        <v>36</v>
      </c>
      <c r="C52" s="4" t="s">
        <v>37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44348</v>
      </c>
      <c r="J52" s="6">
        <v>0</v>
      </c>
      <c r="K52" s="70">
        <v>0</v>
      </c>
      <c r="L52" s="6">
        <v>20.742999999999999</v>
      </c>
      <c r="M52" s="70">
        <v>20.742999999999999</v>
      </c>
      <c r="N52" s="6">
        <v>20.742999999999999</v>
      </c>
      <c r="O52" s="70">
        <v>20.742999999999999</v>
      </c>
      <c r="P52" s="6">
        <v>0</v>
      </c>
      <c r="Q52" s="4" t="s">
        <v>26</v>
      </c>
      <c r="R52" s="4">
        <v>0</v>
      </c>
      <c r="S52" s="6">
        <v>0</v>
      </c>
      <c r="T52" s="6">
        <v>84</v>
      </c>
      <c r="U52" s="6">
        <v>34</v>
      </c>
      <c r="V52" s="70">
        <f>IF(ISERROR(VLOOKUP($S$52,'TAR FIN'!$A$1:$O$85,15,0)),0,VLOOKUP($S$52,'TAR FIN'!$A$1:$O$85,15,0))</f>
        <v>0</v>
      </c>
      <c r="W52" s="70">
        <f>IF(ISERROR(VLOOKUP($T$52,'TAR FIN'!$A$1:$O$85,15,0)),0,VLOOKUP($T$52,'TAR FIN'!$A$1:$O$85,15,0))*(1-0.04)</f>
        <v>118.28159999999998</v>
      </c>
      <c r="X52" s="70">
        <f>IF(ISERROR(VLOOKUP($U$52,'TAR FIN'!$A$1:$O$85,15,0)),0,VLOOKUP($U$52,'TAR FIN'!$A$1:$O$85,15,0))*(1-0.04)</f>
        <v>193.66079999999999</v>
      </c>
      <c r="Y52" s="70"/>
      <c r="Z52" s="70">
        <f ca="1">('TUSD BE'!$AM$12+'TUSD BF'!$AM$12+'TUSD CVA'!$AM$12)*1*(1-0.02)</f>
        <v>132.87150642112147</v>
      </c>
      <c r="AA52" s="70">
        <f>('TE BE'!$AA$6+'TE BF'!$AA$6+'TE CVA'!$AA$6)*1*(1-0.02)</f>
        <v>221.27889404302132</v>
      </c>
      <c r="AB52" s="6">
        <f>$K$52*$V$52</f>
        <v>0</v>
      </c>
      <c r="AC52" s="6">
        <f>$M$52*$W$52</f>
        <v>2453.5152287999995</v>
      </c>
      <c r="AD52" s="6">
        <f>$O$52*$X$52</f>
        <v>4017.1059743999995</v>
      </c>
      <c r="AE52" s="6">
        <f>$K$52*$Y$52</f>
        <v>0</v>
      </c>
      <c r="AF52" s="6">
        <f ca="1">$M$52*$Z$52</f>
        <v>2756.1536576933222</v>
      </c>
      <c r="AG52" s="6">
        <f>$O$52*$AA$52</f>
        <v>4589.9880991343907</v>
      </c>
    </row>
    <row r="53" spans="1:33" ht="11.25" customHeight="1" x14ac:dyDescent="0.3">
      <c r="A53" s="4" t="s">
        <v>21</v>
      </c>
      <c r="B53" s="4" t="s">
        <v>36</v>
      </c>
      <c r="C53" s="4" t="s">
        <v>37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44378</v>
      </c>
      <c r="J53" s="6">
        <v>0</v>
      </c>
      <c r="K53" s="70">
        <v>0</v>
      </c>
      <c r="L53" s="6">
        <v>18.995000000000001</v>
      </c>
      <c r="M53" s="70">
        <v>18.995000000000001</v>
      </c>
      <c r="N53" s="6">
        <v>18.995000000000001</v>
      </c>
      <c r="O53" s="70">
        <v>18.995000000000001</v>
      </c>
      <c r="P53" s="6">
        <v>0</v>
      </c>
      <c r="Q53" s="4" t="s">
        <v>26</v>
      </c>
      <c r="R53" s="4">
        <v>0</v>
      </c>
      <c r="S53" s="6">
        <v>0</v>
      </c>
      <c r="T53" s="6">
        <v>84</v>
      </c>
      <c r="U53" s="6">
        <v>34</v>
      </c>
      <c r="V53" s="70">
        <f>IF(ISERROR(VLOOKUP($S$53,'TAR FIN'!$A$1:$O$85,15,0)),0,VLOOKUP($S$53,'TAR FIN'!$A$1:$O$85,15,0))</f>
        <v>0</v>
      </c>
      <c r="W53" s="70">
        <f>IF(ISERROR(VLOOKUP($T$53,'TAR FIN'!$A$1:$O$85,15,0)),0,VLOOKUP($T$53,'TAR FIN'!$A$1:$O$85,15,0))*(1-0.04)</f>
        <v>118.28159999999998</v>
      </c>
      <c r="X53" s="70">
        <f>IF(ISERROR(VLOOKUP($U$53,'TAR FIN'!$A$1:$O$85,15,0)),0,VLOOKUP($U$53,'TAR FIN'!$A$1:$O$85,15,0))*(1-0.04)</f>
        <v>193.66079999999999</v>
      </c>
      <c r="Y53" s="70"/>
      <c r="Z53" s="70">
        <f ca="1">('TUSD BE'!$AM$12+'TUSD BF'!$AM$12+'TUSD CVA'!$AM$12)*1*(1-0.02)</f>
        <v>132.87150642112147</v>
      </c>
      <c r="AA53" s="70">
        <f>('TE BE'!$AA$6+'TE BF'!$AA$6+'TE CVA'!$AA$6)*1*(1-0.02)</f>
        <v>221.27889404302132</v>
      </c>
      <c r="AB53" s="6">
        <f>$K$53*$V$53</f>
        <v>0</v>
      </c>
      <c r="AC53" s="6">
        <f>$M$53*$W$53</f>
        <v>2246.7589919999996</v>
      </c>
      <c r="AD53" s="6">
        <f>$O$53*$X$53</f>
        <v>3678.5868960000003</v>
      </c>
      <c r="AE53" s="6">
        <f>$K$53*$Y$53</f>
        <v>0</v>
      </c>
      <c r="AF53" s="6">
        <f ca="1">$M$53*$Z$53</f>
        <v>2523.8942644692024</v>
      </c>
      <c r="AG53" s="6">
        <f>$O$53*$AA$53</f>
        <v>4203.1925923471899</v>
      </c>
    </row>
    <row r="54" spans="1:33" ht="11.25" customHeight="1" x14ac:dyDescent="0.3">
      <c r="A54" s="4" t="s">
        <v>21</v>
      </c>
      <c r="B54" s="4" t="s">
        <v>36</v>
      </c>
      <c r="C54" s="4" t="s">
        <v>37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44409</v>
      </c>
      <c r="J54" s="6">
        <v>0</v>
      </c>
      <c r="K54" s="70">
        <v>0</v>
      </c>
      <c r="L54" s="6">
        <v>19.219000000000001</v>
      </c>
      <c r="M54" s="70">
        <v>19.219000000000001</v>
      </c>
      <c r="N54" s="6">
        <v>19.219000000000001</v>
      </c>
      <c r="O54" s="70">
        <v>19.219000000000001</v>
      </c>
      <c r="P54" s="6">
        <v>0</v>
      </c>
      <c r="Q54" s="4" t="s">
        <v>26</v>
      </c>
      <c r="R54" s="4">
        <v>0</v>
      </c>
      <c r="S54" s="6">
        <v>0</v>
      </c>
      <c r="T54" s="6">
        <v>84</v>
      </c>
      <c r="U54" s="6">
        <v>34</v>
      </c>
      <c r="V54" s="70">
        <f>IF(ISERROR(VLOOKUP($S$54,'TAR FIN'!$A$1:$O$85,15,0)),0,VLOOKUP($S$54,'TAR FIN'!$A$1:$O$85,15,0))</f>
        <v>0</v>
      </c>
      <c r="W54" s="70">
        <f>IF(ISERROR(VLOOKUP($T$54,'TAR FIN'!$A$1:$O$85,15,0)),0,VLOOKUP($T$54,'TAR FIN'!$A$1:$O$85,15,0))*(1-0.04)</f>
        <v>118.28159999999998</v>
      </c>
      <c r="X54" s="70">
        <f>IF(ISERROR(VLOOKUP($U$54,'TAR FIN'!$A$1:$O$85,15,0)),0,VLOOKUP($U$54,'TAR FIN'!$A$1:$O$85,15,0))*(1-0.04)</f>
        <v>193.66079999999999</v>
      </c>
      <c r="Y54" s="70"/>
      <c r="Z54" s="70">
        <f ca="1">('TUSD BE'!$AM$12+'TUSD BF'!$AM$12+'TUSD CVA'!$AM$12)*1*(1-0.02)</f>
        <v>132.87150642112147</v>
      </c>
      <c r="AA54" s="70">
        <f>('TE BE'!$AA$6+'TE BF'!$AA$6+'TE CVA'!$AA$6)*1*(1-0.02)</f>
        <v>221.27889404302132</v>
      </c>
      <c r="AB54" s="6">
        <f>$K$54*$V$54</f>
        <v>0</v>
      </c>
      <c r="AC54" s="6">
        <f>$M$54*$W$54</f>
        <v>2273.2540703999998</v>
      </c>
      <c r="AD54" s="6">
        <f>$O$54*$X$54</f>
        <v>3721.9669152000001</v>
      </c>
      <c r="AE54" s="6">
        <f>$K$54*$Y$54</f>
        <v>0</v>
      </c>
      <c r="AF54" s="6">
        <f ca="1">$M$54*$Z$54</f>
        <v>2553.6574819075336</v>
      </c>
      <c r="AG54" s="6">
        <f>$O$54*$AA$54</f>
        <v>4252.7590646128274</v>
      </c>
    </row>
    <row r="55" spans="1:33" ht="11.25" customHeight="1" x14ac:dyDescent="0.3">
      <c r="A55" s="4" t="s">
        <v>21</v>
      </c>
      <c r="B55" s="4" t="s">
        <v>36</v>
      </c>
      <c r="C55" s="4" t="s">
        <v>37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44440</v>
      </c>
      <c r="J55" s="6">
        <v>0</v>
      </c>
      <c r="K55" s="70">
        <v>0</v>
      </c>
      <c r="L55" s="6">
        <v>20.25</v>
      </c>
      <c r="M55" s="70">
        <v>20.25</v>
      </c>
      <c r="N55" s="6">
        <v>20.25</v>
      </c>
      <c r="O55" s="70">
        <v>20.25</v>
      </c>
      <c r="P55" s="6">
        <v>0</v>
      </c>
      <c r="Q55" s="4" t="s">
        <v>26</v>
      </c>
      <c r="R55" s="4">
        <v>0</v>
      </c>
      <c r="S55" s="6">
        <v>0</v>
      </c>
      <c r="T55" s="6">
        <v>84</v>
      </c>
      <c r="U55" s="6">
        <v>34</v>
      </c>
      <c r="V55" s="70">
        <f>IF(ISERROR(VLOOKUP($S$55,'TAR FIN'!$A$1:$O$85,15,0)),0,VLOOKUP($S$55,'TAR FIN'!$A$1:$O$85,15,0))</f>
        <v>0</v>
      </c>
      <c r="W55" s="70">
        <f>IF(ISERROR(VLOOKUP($T$55,'TAR FIN'!$A$1:$O$85,15,0)),0,VLOOKUP($T$55,'TAR FIN'!$A$1:$O$85,15,0))*(1-0.04)</f>
        <v>118.28159999999998</v>
      </c>
      <c r="X55" s="70">
        <f>IF(ISERROR(VLOOKUP($U$55,'TAR FIN'!$A$1:$O$85,15,0)),0,VLOOKUP($U$55,'TAR FIN'!$A$1:$O$85,15,0))*(1-0.04)</f>
        <v>193.66079999999999</v>
      </c>
      <c r="Y55" s="70"/>
      <c r="Z55" s="70">
        <f ca="1">('TUSD BE'!$AM$12+'TUSD BF'!$AM$12+'TUSD CVA'!$AM$12)*1*(1-0.02)</f>
        <v>132.87150642112147</v>
      </c>
      <c r="AA55" s="70">
        <f>('TE BE'!$AA$6+'TE BF'!$AA$6+'TE CVA'!$AA$6)*1*(1-0.02)</f>
        <v>221.27889404302132</v>
      </c>
      <c r="AB55" s="6">
        <f>$K$55*$V$55</f>
        <v>0</v>
      </c>
      <c r="AC55" s="6">
        <f>$M$55*$W$55</f>
        <v>2395.2023999999997</v>
      </c>
      <c r="AD55" s="6">
        <f>$O$55*$X$55</f>
        <v>3921.6311999999998</v>
      </c>
      <c r="AE55" s="6">
        <f>$K$55*$Y$55</f>
        <v>0</v>
      </c>
      <c r="AF55" s="6">
        <f ca="1">$M$55*$Z$55</f>
        <v>2690.6480050277096</v>
      </c>
      <c r="AG55" s="6">
        <f>$O$55*$AA$55</f>
        <v>4480.8976043711818</v>
      </c>
    </row>
    <row r="56" spans="1:33" ht="11.25" customHeight="1" x14ac:dyDescent="0.3">
      <c r="A56" s="4" t="s">
        <v>21</v>
      </c>
      <c r="B56" s="4" t="s">
        <v>36</v>
      </c>
      <c r="C56" s="4" t="s">
        <v>37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44470</v>
      </c>
      <c r="J56" s="6">
        <v>0</v>
      </c>
      <c r="K56" s="70">
        <v>0</v>
      </c>
      <c r="L56" s="6">
        <v>21.521000000000001</v>
      </c>
      <c r="M56" s="70">
        <v>21.521000000000001</v>
      </c>
      <c r="N56" s="6">
        <v>21.521000000000001</v>
      </c>
      <c r="O56" s="70">
        <v>21.521000000000001</v>
      </c>
      <c r="P56" s="6">
        <v>0</v>
      </c>
      <c r="Q56" s="4" t="s">
        <v>26</v>
      </c>
      <c r="R56" s="4">
        <v>0</v>
      </c>
      <c r="S56" s="6">
        <v>0</v>
      </c>
      <c r="T56" s="6">
        <v>84</v>
      </c>
      <c r="U56" s="6">
        <v>34</v>
      </c>
      <c r="V56" s="70">
        <f>IF(ISERROR(VLOOKUP($S$56,'TAR FIN'!$A$1:$O$85,15,0)),0,VLOOKUP($S$56,'TAR FIN'!$A$1:$O$85,15,0))</f>
        <v>0</v>
      </c>
      <c r="W56" s="70">
        <f>IF(ISERROR(VLOOKUP($T$56,'TAR FIN'!$A$1:$O$85,15,0)),0,VLOOKUP($T$56,'TAR FIN'!$A$1:$O$85,15,0))*(1-0.04)</f>
        <v>118.28159999999998</v>
      </c>
      <c r="X56" s="70">
        <f>IF(ISERROR(VLOOKUP($U$56,'TAR FIN'!$A$1:$O$85,15,0)),0,VLOOKUP($U$56,'TAR FIN'!$A$1:$O$85,15,0))*(1-0.04)</f>
        <v>193.66079999999999</v>
      </c>
      <c r="Y56" s="70"/>
      <c r="Z56" s="70">
        <f ca="1">('TUSD BE'!$AM$12+'TUSD BF'!$AM$12+'TUSD CVA'!$AM$12)*1*(1-0.02)</f>
        <v>132.87150642112147</v>
      </c>
      <c r="AA56" s="70">
        <f>('TE BE'!$AA$6+'TE BF'!$AA$6+'TE CVA'!$AA$6)*1*(1-0.02)</f>
        <v>221.27889404302132</v>
      </c>
      <c r="AB56" s="6">
        <f>$K$56*$V$56</f>
        <v>0</v>
      </c>
      <c r="AC56" s="6">
        <f>$M$56*$W$56</f>
        <v>2545.5383135999996</v>
      </c>
      <c r="AD56" s="6">
        <f>$O$56*$X$56</f>
        <v>4167.7740768000003</v>
      </c>
      <c r="AE56" s="6">
        <f>$K$56*$Y$56</f>
        <v>0</v>
      </c>
      <c r="AF56" s="6">
        <f ca="1">$M$56*$Z$56</f>
        <v>2859.527689688955</v>
      </c>
      <c r="AG56" s="6">
        <f>$O$56*$AA$56</f>
        <v>4762.1430786998617</v>
      </c>
    </row>
    <row r="57" spans="1:33" ht="11.25" customHeight="1" x14ac:dyDescent="0.3">
      <c r="A57" s="4" t="s">
        <v>21</v>
      </c>
      <c r="B57" s="4" t="s">
        <v>36</v>
      </c>
      <c r="C57" s="4" t="s">
        <v>37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44501</v>
      </c>
      <c r="J57" s="6">
        <v>0</v>
      </c>
      <c r="K57" s="70">
        <v>0</v>
      </c>
      <c r="L57" s="6">
        <v>23.323</v>
      </c>
      <c r="M57" s="70">
        <v>23.323</v>
      </c>
      <c r="N57" s="6">
        <v>23.323</v>
      </c>
      <c r="O57" s="70">
        <v>23.323</v>
      </c>
      <c r="P57" s="6">
        <v>0</v>
      </c>
      <c r="Q57" s="4" t="s">
        <v>26</v>
      </c>
      <c r="R57" s="4">
        <v>0</v>
      </c>
      <c r="S57" s="6">
        <v>0</v>
      </c>
      <c r="T57" s="6">
        <v>84</v>
      </c>
      <c r="U57" s="6">
        <v>34</v>
      </c>
      <c r="V57" s="70">
        <f>IF(ISERROR(VLOOKUP($S$57,'TAR FIN'!$A$1:$O$85,15,0)),0,VLOOKUP($S$57,'TAR FIN'!$A$1:$O$85,15,0))</f>
        <v>0</v>
      </c>
      <c r="W57" s="70">
        <f>IF(ISERROR(VLOOKUP($T$57,'TAR FIN'!$A$1:$O$85,15,0)),0,VLOOKUP($T$57,'TAR FIN'!$A$1:$O$85,15,0))*(1-0.04)</f>
        <v>118.28159999999998</v>
      </c>
      <c r="X57" s="70">
        <f>IF(ISERROR(VLOOKUP($U$57,'TAR FIN'!$A$1:$O$85,15,0)),0,VLOOKUP($U$57,'TAR FIN'!$A$1:$O$85,15,0))*(1-0.04)</f>
        <v>193.66079999999999</v>
      </c>
      <c r="Y57" s="70"/>
      <c r="Z57" s="70">
        <f ca="1">('TUSD BE'!$AM$12+'TUSD BF'!$AM$12+'TUSD CVA'!$AM$12)*1*(1-0.02)</f>
        <v>132.87150642112147</v>
      </c>
      <c r="AA57" s="70">
        <f>('TE BE'!$AA$6+'TE BF'!$AA$6+'TE CVA'!$AA$6)*1*(1-0.02)</f>
        <v>221.27889404302132</v>
      </c>
      <c r="AB57" s="6">
        <f>$K$57*$V$57</f>
        <v>0</v>
      </c>
      <c r="AC57" s="6">
        <f>$M$57*$W$57</f>
        <v>2758.6817567999997</v>
      </c>
      <c r="AD57" s="6">
        <f>$O$57*$X$57</f>
        <v>4516.7508384000002</v>
      </c>
      <c r="AE57" s="6">
        <f>$K$57*$Y$57</f>
        <v>0</v>
      </c>
      <c r="AF57" s="6">
        <f ca="1">$M$57*$Z$57</f>
        <v>3098.9621442598159</v>
      </c>
      <c r="AG57" s="6">
        <f>$O$57*$AA$57</f>
        <v>5160.8876457653869</v>
      </c>
    </row>
    <row r="58" spans="1:33" ht="11.25" customHeight="1" x14ac:dyDescent="0.3">
      <c r="A58" s="4" t="s">
        <v>21</v>
      </c>
      <c r="B58" s="4" t="s">
        <v>36</v>
      </c>
      <c r="C58" s="4" t="s">
        <v>37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44287</v>
      </c>
      <c r="J58" s="6">
        <v>125</v>
      </c>
      <c r="K58" s="70">
        <v>125</v>
      </c>
      <c r="L58" s="6">
        <v>0</v>
      </c>
      <c r="M58" s="70">
        <v>0</v>
      </c>
      <c r="N58" s="6">
        <v>0</v>
      </c>
      <c r="O58" s="70">
        <v>0</v>
      </c>
      <c r="P58" s="6">
        <v>1</v>
      </c>
      <c r="Q58" s="4" t="s">
        <v>26</v>
      </c>
      <c r="R58" s="4">
        <v>0</v>
      </c>
      <c r="S58" s="6">
        <v>80</v>
      </c>
      <c r="T58" s="6">
        <v>0</v>
      </c>
      <c r="U58" s="6">
        <v>0</v>
      </c>
      <c r="V58" s="70">
        <f>IF(ISERROR(VLOOKUP($S$58,'TAR FIN'!$A$1:$O$85,15,0)),0,VLOOKUP($S$58,'TAR FIN'!$A$1:$O$85,15,0))*(1-0.04)</f>
        <v>50.956799999999994</v>
      </c>
      <c r="W58" s="70">
        <f>IF(ISERROR(VLOOKUP($T$58,'TAR FIN'!$A$1:$O$85,15,0)),0,VLOOKUP($T$58,'TAR FIN'!$A$1:$O$85,15,0))</f>
        <v>0</v>
      </c>
      <c r="X58" s="70">
        <f>IF(ISERROR(VLOOKUP($U$58,'TAR FIN'!$A$1:$O$85,15,0)),0,VLOOKUP($U$58,'TAR FIN'!$A$1:$O$85,15,0))</f>
        <v>0</v>
      </c>
      <c r="Y58" s="70">
        <f ca="1">('TUSD BE'!$AM$10+'TUSD BF'!$AM$10+'TUSD CVA'!$AM$10)*1*(1-0.02)</f>
        <v>67.479178091514612</v>
      </c>
      <c r="Z58" s="70"/>
      <c r="AA58" s="70"/>
      <c r="AB58" s="6">
        <f>$K$58*$V$58</f>
        <v>6369.5999999999995</v>
      </c>
      <c r="AC58" s="6">
        <f>$M$58*$W$58</f>
        <v>0</v>
      </c>
      <c r="AD58" s="6">
        <f>$O$58*$X$58</f>
        <v>0</v>
      </c>
      <c r="AE58" s="6">
        <f ca="1">$K$58*$Y$58</f>
        <v>8434.897261439326</v>
      </c>
      <c r="AF58" s="6">
        <f>$M$58*$Z$58</f>
        <v>0</v>
      </c>
      <c r="AG58" s="6">
        <f>$O$58*$AA$58</f>
        <v>0</v>
      </c>
    </row>
    <row r="59" spans="1:33" ht="11.25" customHeight="1" x14ac:dyDescent="0.3">
      <c r="A59" s="4" t="s">
        <v>21</v>
      </c>
      <c r="B59" s="4" t="s">
        <v>36</v>
      </c>
      <c r="C59" s="4" t="s">
        <v>37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44317</v>
      </c>
      <c r="J59" s="6">
        <v>125</v>
      </c>
      <c r="K59" s="70">
        <v>125</v>
      </c>
      <c r="L59" s="6">
        <v>0</v>
      </c>
      <c r="M59" s="70">
        <v>0</v>
      </c>
      <c r="N59" s="6">
        <v>0</v>
      </c>
      <c r="O59" s="70">
        <v>0</v>
      </c>
      <c r="P59" s="6">
        <v>1</v>
      </c>
      <c r="Q59" s="4" t="s">
        <v>26</v>
      </c>
      <c r="R59" s="4">
        <v>0</v>
      </c>
      <c r="S59" s="6">
        <v>80</v>
      </c>
      <c r="T59" s="6">
        <v>0</v>
      </c>
      <c r="U59" s="6">
        <v>0</v>
      </c>
      <c r="V59" s="70">
        <f>IF(ISERROR(VLOOKUP($S$59,'TAR FIN'!$A$1:$O$85,15,0)),0,VLOOKUP($S$59,'TAR FIN'!$A$1:$O$85,15,0))*(1-0.04)</f>
        <v>50.956799999999994</v>
      </c>
      <c r="W59" s="70">
        <f>IF(ISERROR(VLOOKUP($T$59,'TAR FIN'!$A$1:$O$85,15,0)),0,VLOOKUP($T$59,'TAR FIN'!$A$1:$O$85,15,0))</f>
        <v>0</v>
      </c>
      <c r="X59" s="70">
        <f>IF(ISERROR(VLOOKUP($U$59,'TAR FIN'!$A$1:$O$85,15,0)),0,VLOOKUP($U$59,'TAR FIN'!$A$1:$O$85,15,0))</f>
        <v>0</v>
      </c>
      <c r="Y59" s="70">
        <f ca="1">('TUSD BE'!$AM$10+'TUSD BF'!$AM$10+'TUSD CVA'!$AM$10)*1*(1-0.02)</f>
        <v>67.479178091514612</v>
      </c>
      <c r="Z59" s="70"/>
      <c r="AA59" s="70"/>
      <c r="AB59" s="6">
        <f>$K$59*$V$59</f>
        <v>6369.5999999999995</v>
      </c>
      <c r="AC59" s="6">
        <f>$M$59*$W$59</f>
        <v>0</v>
      </c>
      <c r="AD59" s="6">
        <f>$O$59*$X$59</f>
        <v>0</v>
      </c>
      <c r="AE59" s="6">
        <f ca="1">$K$59*$Y$59</f>
        <v>8434.897261439326</v>
      </c>
      <c r="AF59" s="6">
        <f>$M$59*$Z$59</f>
        <v>0</v>
      </c>
      <c r="AG59" s="6">
        <f>$O$59*$AA$59</f>
        <v>0</v>
      </c>
    </row>
    <row r="60" spans="1:33" ht="11.25" customHeight="1" x14ac:dyDescent="0.3">
      <c r="A60" s="4" t="s">
        <v>21</v>
      </c>
      <c r="B60" s="4" t="s">
        <v>36</v>
      </c>
      <c r="C60" s="4" t="s">
        <v>37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44348</v>
      </c>
      <c r="J60" s="6">
        <v>125</v>
      </c>
      <c r="K60" s="70">
        <v>125</v>
      </c>
      <c r="L60" s="6">
        <v>0</v>
      </c>
      <c r="M60" s="70">
        <v>0</v>
      </c>
      <c r="N60" s="6">
        <v>0</v>
      </c>
      <c r="O60" s="70">
        <v>0</v>
      </c>
      <c r="P60" s="6">
        <v>1</v>
      </c>
      <c r="Q60" s="4" t="s">
        <v>26</v>
      </c>
      <c r="R60" s="4">
        <v>0</v>
      </c>
      <c r="S60" s="6">
        <v>80</v>
      </c>
      <c r="T60" s="6">
        <v>0</v>
      </c>
      <c r="U60" s="6">
        <v>0</v>
      </c>
      <c r="V60" s="70">
        <f>IF(ISERROR(VLOOKUP($S$60,'TAR FIN'!$A$1:$O$85,15,0)),0,VLOOKUP($S$60,'TAR FIN'!$A$1:$O$85,15,0))*(1-0.04)</f>
        <v>50.956799999999994</v>
      </c>
      <c r="W60" s="70">
        <f>IF(ISERROR(VLOOKUP($T$60,'TAR FIN'!$A$1:$O$85,15,0)),0,VLOOKUP($T$60,'TAR FIN'!$A$1:$O$85,15,0))</f>
        <v>0</v>
      </c>
      <c r="X60" s="70">
        <f>IF(ISERROR(VLOOKUP($U$60,'TAR FIN'!$A$1:$O$85,15,0)),0,VLOOKUP($U$60,'TAR FIN'!$A$1:$O$85,15,0))</f>
        <v>0</v>
      </c>
      <c r="Y60" s="70">
        <f ca="1">('TUSD BE'!$AM$10+'TUSD BF'!$AM$10+'TUSD CVA'!$AM$10)*1*(1-0.02)</f>
        <v>67.479178091514612</v>
      </c>
      <c r="Z60" s="70"/>
      <c r="AA60" s="70"/>
      <c r="AB60" s="6">
        <f>$K$60*$V$60</f>
        <v>6369.5999999999995</v>
      </c>
      <c r="AC60" s="6">
        <f>$M$60*$W$60</f>
        <v>0</v>
      </c>
      <c r="AD60" s="6">
        <f>$O$60*$X$60</f>
        <v>0</v>
      </c>
      <c r="AE60" s="6">
        <f ca="1">$K$60*$Y$60</f>
        <v>8434.897261439326</v>
      </c>
      <c r="AF60" s="6">
        <f>$M$60*$Z$60</f>
        <v>0</v>
      </c>
      <c r="AG60" s="6">
        <f>$O$60*$AA$60</f>
        <v>0</v>
      </c>
    </row>
    <row r="61" spans="1:33" ht="11.25" customHeight="1" x14ac:dyDescent="0.3">
      <c r="A61" s="4" t="s">
        <v>21</v>
      </c>
      <c r="B61" s="4" t="s">
        <v>36</v>
      </c>
      <c r="C61" s="4" t="s">
        <v>37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44378</v>
      </c>
      <c r="J61" s="6">
        <v>125</v>
      </c>
      <c r="K61" s="70">
        <v>125</v>
      </c>
      <c r="L61" s="6">
        <v>0</v>
      </c>
      <c r="M61" s="70">
        <v>0</v>
      </c>
      <c r="N61" s="6">
        <v>0</v>
      </c>
      <c r="O61" s="70">
        <v>0</v>
      </c>
      <c r="P61" s="6">
        <v>1</v>
      </c>
      <c r="Q61" s="4" t="s">
        <v>26</v>
      </c>
      <c r="R61" s="4">
        <v>0</v>
      </c>
      <c r="S61" s="6">
        <v>80</v>
      </c>
      <c r="T61" s="6">
        <v>0</v>
      </c>
      <c r="U61" s="6">
        <v>0</v>
      </c>
      <c r="V61" s="70">
        <f>IF(ISERROR(VLOOKUP($S$61,'TAR FIN'!$A$1:$O$85,15,0)),0,VLOOKUP($S$61,'TAR FIN'!$A$1:$O$85,15,0))*(1-0.04)</f>
        <v>50.956799999999994</v>
      </c>
      <c r="W61" s="70">
        <f>IF(ISERROR(VLOOKUP($T$61,'TAR FIN'!$A$1:$O$85,15,0)),0,VLOOKUP($T$61,'TAR FIN'!$A$1:$O$85,15,0))</f>
        <v>0</v>
      </c>
      <c r="X61" s="70">
        <f>IF(ISERROR(VLOOKUP($U$61,'TAR FIN'!$A$1:$O$85,15,0)),0,VLOOKUP($U$61,'TAR FIN'!$A$1:$O$85,15,0))</f>
        <v>0</v>
      </c>
      <c r="Y61" s="70">
        <f ca="1">('TUSD BE'!$AM$10+'TUSD BF'!$AM$10+'TUSD CVA'!$AM$10)*1*(1-0.02)</f>
        <v>67.479178091514612</v>
      </c>
      <c r="Z61" s="70"/>
      <c r="AA61" s="70"/>
      <c r="AB61" s="6">
        <f>$K$61*$V$61</f>
        <v>6369.5999999999995</v>
      </c>
      <c r="AC61" s="6">
        <f>$M$61*$W$61</f>
        <v>0</v>
      </c>
      <c r="AD61" s="6">
        <f>$O$61*$X$61</f>
        <v>0</v>
      </c>
      <c r="AE61" s="6">
        <f ca="1">$K$61*$Y$61</f>
        <v>8434.897261439326</v>
      </c>
      <c r="AF61" s="6">
        <f>$M$61*$Z$61</f>
        <v>0</v>
      </c>
      <c r="AG61" s="6">
        <f>$O$61*$AA$61</f>
        <v>0</v>
      </c>
    </row>
    <row r="62" spans="1:33" ht="11.25" customHeight="1" x14ac:dyDescent="0.3">
      <c r="A62" s="4" t="s">
        <v>21</v>
      </c>
      <c r="B62" s="4" t="s">
        <v>36</v>
      </c>
      <c r="C62" s="4" t="s">
        <v>37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44409</v>
      </c>
      <c r="J62" s="6">
        <v>125</v>
      </c>
      <c r="K62" s="70">
        <v>125</v>
      </c>
      <c r="L62" s="6">
        <v>0</v>
      </c>
      <c r="M62" s="70">
        <v>0</v>
      </c>
      <c r="N62" s="6">
        <v>0</v>
      </c>
      <c r="O62" s="70">
        <v>0</v>
      </c>
      <c r="P62" s="6">
        <v>1</v>
      </c>
      <c r="Q62" s="4" t="s">
        <v>26</v>
      </c>
      <c r="R62" s="4">
        <v>0</v>
      </c>
      <c r="S62" s="6">
        <v>80</v>
      </c>
      <c r="T62" s="6">
        <v>0</v>
      </c>
      <c r="U62" s="6">
        <v>0</v>
      </c>
      <c r="V62" s="70">
        <f>IF(ISERROR(VLOOKUP($S$62,'TAR FIN'!$A$1:$O$85,15,0)),0,VLOOKUP($S$62,'TAR FIN'!$A$1:$O$85,15,0))*(1-0.04)</f>
        <v>50.956799999999994</v>
      </c>
      <c r="W62" s="70">
        <f>IF(ISERROR(VLOOKUP($T$62,'TAR FIN'!$A$1:$O$85,15,0)),0,VLOOKUP($T$62,'TAR FIN'!$A$1:$O$85,15,0))</f>
        <v>0</v>
      </c>
      <c r="X62" s="70">
        <f>IF(ISERROR(VLOOKUP($U$62,'TAR FIN'!$A$1:$O$85,15,0)),0,VLOOKUP($U$62,'TAR FIN'!$A$1:$O$85,15,0))</f>
        <v>0</v>
      </c>
      <c r="Y62" s="70">
        <f ca="1">('TUSD BE'!$AM$10+'TUSD BF'!$AM$10+'TUSD CVA'!$AM$10)*1*(1-0.02)</f>
        <v>67.479178091514612</v>
      </c>
      <c r="Z62" s="70"/>
      <c r="AA62" s="70"/>
      <c r="AB62" s="6">
        <f>$K$62*$V$62</f>
        <v>6369.5999999999995</v>
      </c>
      <c r="AC62" s="6">
        <f>$M$62*$W$62</f>
        <v>0</v>
      </c>
      <c r="AD62" s="6">
        <f>$O$62*$X$62</f>
        <v>0</v>
      </c>
      <c r="AE62" s="6">
        <f ca="1">$K$62*$Y$62</f>
        <v>8434.897261439326</v>
      </c>
      <c r="AF62" s="6">
        <f>$M$62*$Z$62</f>
        <v>0</v>
      </c>
      <c r="AG62" s="6">
        <f>$O$62*$AA$62</f>
        <v>0</v>
      </c>
    </row>
    <row r="63" spans="1:33" ht="11.25" customHeight="1" x14ac:dyDescent="0.3">
      <c r="A63" s="4" t="s">
        <v>21</v>
      </c>
      <c r="B63" s="4" t="s">
        <v>36</v>
      </c>
      <c r="C63" s="4" t="s">
        <v>37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44440</v>
      </c>
      <c r="J63" s="6">
        <v>125</v>
      </c>
      <c r="K63" s="70">
        <v>125</v>
      </c>
      <c r="L63" s="6">
        <v>0</v>
      </c>
      <c r="M63" s="70">
        <v>0</v>
      </c>
      <c r="N63" s="6">
        <v>0</v>
      </c>
      <c r="O63" s="70">
        <v>0</v>
      </c>
      <c r="P63" s="6">
        <v>1</v>
      </c>
      <c r="Q63" s="4" t="s">
        <v>26</v>
      </c>
      <c r="R63" s="4">
        <v>0</v>
      </c>
      <c r="S63" s="6">
        <v>80</v>
      </c>
      <c r="T63" s="6">
        <v>0</v>
      </c>
      <c r="U63" s="6">
        <v>0</v>
      </c>
      <c r="V63" s="70">
        <f>IF(ISERROR(VLOOKUP($S$63,'TAR FIN'!$A$1:$O$85,15,0)),0,VLOOKUP($S$63,'TAR FIN'!$A$1:$O$85,15,0))*(1-0.04)</f>
        <v>50.956799999999994</v>
      </c>
      <c r="W63" s="70">
        <f>IF(ISERROR(VLOOKUP($T$63,'TAR FIN'!$A$1:$O$85,15,0)),0,VLOOKUP($T$63,'TAR FIN'!$A$1:$O$85,15,0))</f>
        <v>0</v>
      </c>
      <c r="X63" s="70">
        <f>IF(ISERROR(VLOOKUP($U$63,'TAR FIN'!$A$1:$O$85,15,0)),0,VLOOKUP($U$63,'TAR FIN'!$A$1:$O$85,15,0))</f>
        <v>0</v>
      </c>
      <c r="Y63" s="70">
        <f ca="1">('TUSD BE'!$AM$10+'TUSD BF'!$AM$10+'TUSD CVA'!$AM$10)*1*(1-0.02)</f>
        <v>67.479178091514612</v>
      </c>
      <c r="Z63" s="70"/>
      <c r="AA63" s="70"/>
      <c r="AB63" s="6">
        <f>$K$63*$V$63</f>
        <v>6369.5999999999995</v>
      </c>
      <c r="AC63" s="6">
        <f>$M$63*$W$63</f>
        <v>0</v>
      </c>
      <c r="AD63" s="6">
        <f>$O$63*$X$63</f>
        <v>0</v>
      </c>
      <c r="AE63" s="6">
        <f ca="1">$K$63*$Y$63</f>
        <v>8434.897261439326</v>
      </c>
      <c r="AF63" s="6">
        <f>$M$63*$Z$63</f>
        <v>0</v>
      </c>
      <c r="AG63" s="6">
        <f>$O$63*$AA$63</f>
        <v>0</v>
      </c>
    </row>
    <row r="64" spans="1:33" ht="11.25" customHeight="1" x14ac:dyDescent="0.3">
      <c r="A64" s="4" t="s">
        <v>21</v>
      </c>
      <c r="B64" s="4" t="s">
        <v>36</v>
      </c>
      <c r="C64" s="4" t="s">
        <v>37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44470</v>
      </c>
      <c r="J64" s="6">
        <v>125</v>
      </c>
      <c r="K64" s="70">
        <v>125</v>
      </c>
      <c r="L64" s="6">
        <v>0</v>
      </c>
      <c r="M64" s="70">
        <v>0</v>
      </c>
      <c r="N64" s="6">
        <v>0</v>
      </c>
      <c r="O64" s="70">
        <v>0</v>
      </c>
      <c r="P64" s="6">
        <v>1</v>
      </c>
      <c r="Q64" s="4" t="s">
        <v>26</v>
      </c>
      <c r="R64" s="4">
        <v>0</v>
      </c>
      <c r="S64" s="6">
        <v>80</v>
      </c>
      <c r="T64" s="6">
        <v>0</v>
      </c>
      <c r="U64" s="6">
        <v>0</v>
      </c>
      <c r="V64" s="70">
        <f>IF(ISERROR(VLOOKUP($S$64,'TAR FIN'!$A$1:$O$85,15,0)),0,VLOOKUP($S$64,'TAR FIN'!$A$1:$O$85,15,0))*(1-0.04)</f>
        <v>50.956799999999994</v>
      </c>
      <c r="W64" s="70">
        <f>IF(ISERROR(VLOOKUP($T$64,'TAR FIN'!$A$1:$O$85,15,0)),0,VLOOKUP($T$64,'TAR FIN'!$A$1:$O$85,15,0))</f>
        <v>0</v>
      </c>
      <c r="X64" s="70">
        <f>IF(ISERROR(VLOOKUP($U$64,'TAR FIN'!$A$1:$O$85,15,0)),0,VLOOKUP($U$64,'TAR FIN'!$A$1:$O$85,15,0))</f>
        <v>0</v>
      </c>
      <c r="Y64" s="70">
        <f ca="1">('TUSD BE'!$AM$10+'TUSD BF'!$AM$10+'TUSD CVA'!$AM$10)*1*(1-0.02)</f>
        <v>67.479178091514612</v>
      </c>
      <c r="Z64" s="70"/>
      <c r="AA64" s="70"/>
      <c r="AB64" s="6">
        <f>$K$64*$V$64</f>
        <v>6369.5999999999995</v>
      </c>
      <c r="AC64" s="6">
        <f>$M$64*$W$64</f>
        <v>0</v>
      </c>
      <c r="AD64" s="6">
        <f>$O$64*$X$64</f>
        <v>0</v>
      </c>
      <c r="AE64" s="6">
        <f ca="1">$K$64*$Y$64</f>
        <v>8434.897261439326</v>
      </c>
      <c r="AF64" s="6">
        <f>$M$64*$Z$64</f>
        <v>0</v>
      </c>
      <c r="AG64" s="6">
        <f>$O$64*$AA$64</f>
        <v>0</v>
      </c>
    </row>
    <row r="65" spans="1:33" ht="11.25" customHeight="1" x14ac:dyDescent="0.3">
      <c r="A65" s="4" t="s">
        <v>21</v>
      </c>
      <c r="B65" s="4" t="s">
        <v>36</v>
      </c>
      <c r="C65" s="4" t="s">
        <v>37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25</v>
      </c>
      <c r="I65" s="5">
        <v>44501</v>
      </c>
      <c r="J65" s="6">
        <v>125</v>
      </c>
      <c r="K65" s="70">
        <v>125</v>
      </c>
      <c r="L65" s="6">
        <v>0</v>
      </c>
      <c r="M65" s="70">
        <v>0</v>
      </c>
      <c r="N65" s="6">
        <v>0</v>
      </c>
      <c r="O65" s="70">
        <v>0</v>
      </c>
      <c r="P65" s="6">
        <v>1</v>
      </c>
      <c r="Q65" s="4" t="s">
        <v>26</v>
      </c>
      <c r="R65" s="4">
        <v>0</v>
      </c>
      <c r="S65" s="6">
        <v>80</v>
      </c>
      <c r="T65" s="6">
        <v>0</v>
      </c>
      <c r="U65" s="6">
        <v>0</v>
      </c>
      <c r="V65" s="70">
        <f>IF(ISERROR(VLOOKUP($S$65,'TAR FIN'!$A$1:$O$85,15,0)),0,VLOOKUP($S$65,'TAR FIN'!$A$1:$O$85,15,0))*(1-0.04)</f>
        <v>50.956799999999994</v>
      </c>
      <c r="W65" s="70">
        <f>IF(ISERROR(VLOOKUP($T$65,'TAR FIN'!$A$1:$O$85,15,0)),0,VLOOKUP($T$65,'TAR FIN'!$A$1:$O$85,15,0))</f>
        <v>0</v>
      </c>
      <c r="X65" s="70">
        <f>IF(ISERROR(VLOOKUP($U$65,'TAR FIN'!$A$1:$O$85,15,0)),0,VLOOKUP($U$65,'TAR FIN'!$A$1:$O$85,15,0))</f>
        <v>0</v>
      </c>
      <c r="Y65" s="70">
        <f ca="1">('TUSD BE'!$AM$10+'TUSD BF'!$AM$10+'TUSD CVA'!$AM$10)*1*(1-0.02)</f>
        <v>67.479178091514612</v>
      </c>
      <c r="Z65" s="70"/>
      <c r="AA65" s="70"/>
      <c r="AB65" s="6">
        <f>$K$65*$V$65</f>
        <v>6369.5999999999995</v>
      </c>
      <c r="AC65" s="6">
        <f>$M$65*$W$65</f>
        <v>0</v>
      </c>
      <c r="AD65" s="6">
        <f>$O$65*$X$65</f>
        <v>0</v>
      </c>
      <c r="AE65" s="6">
        <f ca="1">$K$65*$Y$65</f>
        <v>8434.897261439326</v>
      </c>
      <c r="AF65" s="6">
        <f>$M$65*$Z$65</f>
        <v>0</v>
      </c>
      <c r="AG65" s="6">
        <f>$O$65*$AA$65</f>
        <v>0</v>
      </c>
    </row>
    <row r="66" spans="1:33" ht="11.25" customHeight="1" x14ac:dyDescent="0.3">
      <c r="A66" s="4" t="s">
        <v>21</v>
      </c>
      <c r="B66" s="4" t="s">
        <v>36</v>
      </c>
      <c r="C66" s="4" t="s">
        <v>37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44287</v>
      </c>
      <c r="J66" s="6">
        <v>0</v>
      </c>
      <c r="K66" s="70">
        <v>0</v>
      </c>
      <c r="L66" s="6">
        <v>0.378</v>
      </c>
      <c r="M66" s="70">
        <v>0.378</v>
      </c>
      <c r="N66" s="6">
        <v>0.378</v>
      </c>
      <c r="O66" s="70">
        <v>0.378</v>
      </c>
      <c r="P66" s="6">
        <v>0</v>
      </c>
      <c r="Q66" s="4" t="s">
        <v>26</v>
      </c>
      <c r="R66" s="4">
        <v>0</v>
      </c>
      <c r="S66" s="6">
        <v>0</v>
      </c>
      <c r="T66" s="6">
        <v>83</v>
      </c>
      <c r="U66" s="6">
        <v>53</v>
      </c>
      <c r="V66" s="70">
        <f>IF(ISERROR(VLOOKUP($S$66,'TAR FIN'!$A$1:$O$85,15,0)),0,VLOOKUP($S$66,'TAR FIN'!$A$1:$O$85,15,0))</f>
        <v>0</v>
      </c>
      <c r="W66" s="70">
        <f>IF(ISERROR(VLOOKUP($T$66,'TAR FIN'!$A$1:$O$85,15,0)),0,VLOOKUP($T$66,'TAR FIN'!$A$1:$O$85,15,0))*(1-0.04)</f>
        <v>3562.8191999999999</v>
      </c>
      <c r="X66" s="70">
        <f>IF(ISERROR(VLOOKUP($U$66,'TAR FIN'!$A$1:$O$85,15,0)),0,VLOOKUP($U$66,'TAR FIN'!$A$1:$O$85,15,0))*(1-0.04)</f>
        <v>193.66079999999999</v>
      </c>
      <c r="Y66" s="70"/>
      <c r="Z66" s="70">
        <f ca="1">('TUSD BE'!$AM$11+'TUSD BF'!$AM$11+'TUSD CVA'!$AM$11)*1*(1-0.02)</f>
        <v>4755.6250630698214</v>
      </c>
      <c r="AA66" s="70">
        <f>('TE BE'!$AA$5+'TE BF'!$AA$5+'TE CVA'!$AA$5)*1*(1-0.02)</f>
        <v>221.27889404302132</v>
      </c>
      <c r="AB66" s="6">
        <f>$K$66*$V$66</f>
        <v>0</v>
      </c>
      <c r="AC66" s="6">
        <f>$M$66*$W$66</f>
        <v>1346.7456576</v>
      </c>
      <c r="AD66" s="6">
        <f>$O$66*$X$66</f>
        <v>73.203782399999994</v>
      </c>
      <c r="AE66" s="6">
        <f>$K$66*$Y$66</f>
        <v>0</v>
      </c>
      <c r="AF66" s="6">
        <f ca="1">$M$66*$Z$66</f>
        <v>1797.6262738403925</v>
      </c>
      <c r="AG66" s="6">
        <f>$O$66*$AA$66</f>
        <v>83.643421948262059</v>
      </c>
    </row>
    <row r="67" spans="1:33" ht="11.25" customHeight="1" x14ac:dyDescent="0.3">
      <c r="A67" s="4" t="s">
        <v>21</v>
      </c>
      <c r="B67" s="4" t="s">
        <v>36</v>
      </c>
      <c r="C67" s="4" t="s">
        <v>37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38</v>
      </c>
      <c r="I67" s="5">
        <v>44317</v>
      </c>
      <c r="J67" s="6">
        <v>0</v>
      </c>
      <c r="K67" s="70">
        <v>0</v>
      </c>
      <c r="L67" s="6">
        <v>0.38900000000000001</v>
      </c>
      <c r="M67" s="70">
        <v>0.38900000000000001</v>
      </c>
      <c r="N67" s="6">
        <v>0.38900000000000001</v>
      </c>
      <c r="O67" s="70">
        <v>0.38900000000000001</v>
      </c>
      <c r="P67" s="6">
        <v>0</v>
      </c>
      <c r="Q67" s="4" t="s">
        <v>26</v>
      </c>
      <c r="R67" s="4">
        <v>0</v>
      </c>
      <c r="S67" s="6">
        <v>0</v>
      </c>
      <c r="T67" s="6">
        <v>83</v>
      </c>
      <c r="U67" s="6">
        <v>53</v>
      </c>
      <c r="V67" s="70">
        <f>IF(ISERROR(VLOOKUP($S$67,'TAR FIN'!$A$1:$O$85,15,0)),0,VLOOKUP($S$67,'TAR FIN'!$A$1:$O$85,15,0))</f>
        <v>0</v>
      </c>
      <c r="W67" s="70">
        <f>IF(ISERROR(VLOOKUP($T$67,'TAR FIN'!$A$1:$O$85,15,0)),0,VLOOKUP($T$67,'TAR FIN'!$A$1:$O$85,15,0))*(1-0.04)</f>
        <v>3562.8191999999999</v>
      </c>
      <c r="X67" s="70">
        <f>IF(ISERROR(VLOOKUP($U$67,'TAR FIN'!$A$1:$O$85,15,0)),0,VLOOKUP($U$67,'TAR FIN'!$A$1:$O$85,15,0))*(1-0.04)</f>
        <v>193.66079999999999</v>
      </c>
      <c r="Y67" s="70"/>
      <c r="Z67" s="70">
        <f ca="1">('TUSD BE'!$AM$11+'TUSD BF'!$AM$11+'TUSD CVA'!$AM$11)*1*(1-0.02)</f>
        <v>4755.6250630698214</v>
      </c>
      <c r="AA67" s="70">
        <f>('TE BE'!$AA$5+'TE BF'!$AA$5+'TE CVA'!$AA$5)*1*(1-0.02)</f>
        <v>221.27889404302132</v>
      </c>
      <c r="AB67" s="6">
        <f>$K$67*$V$67</f>
        <v>0</v>
      </c>
      <c r="AC67" s="6">
        <f>$M$67*$W$67</f>
        <v>1385.9366688</v>
      </c>
      <c r="AD67" s="6">
        <f>$O$67*$X$67</f>
        <v>75.334051200000005</v>
      </c>
      <c r="AE67" s="6">
        <f>$K$67*$Y$67</f>
        <v>0</v>
      </c>
      <c r="AF67" s="6">
        <f ca="1">$M$67*$Z$67</f>
        <v>1849.9381495341606</v>
      </c>
      <c r="AG67" s="6">
        <f>$O$67*$AA$67</f>
        <v>86.077489782735299</v>
      </c>
    </row>
    <row r="68" spans="1:33" ht="11.25" customHeight="1" x14ac:dyDescent="0.3">
      <c r="A68" s="4" t="s">
        <v>21</v>
      </c>
      <c r="B68" s="4" t="s">
        <v>36</v>
      </c>
      <c r="C68" s="4" t="s">
        <v>37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38</v>
      </c>
      <c r="I68" s="5">
        <v>44348</v>
      </c>
      <c r="J68" s="6">
        <v>0</v>
      </c>
      <c r="K68" s="70">
        <v>0</v>
      </c>
      <c r="L68" s="6">
        <v>0.39800000000000002</v>
      </c>
      <c r="M68" s="70">
        <v>0.39800000000000002</v>
      </c>
      <c r="N68" s="6">
        <v>0.39800000000000002</v>
      </c>
      <c r="O68" s="70">
        <v>0.39800000000000002</v>
      </c>
      <c r="P68" s="6">
        <v>0</v>
      </c>
      <c r="Q68" s="4" t="s">
        <v>26</v>
      </c>
      <c r="R68" s="4">
        <v>0</v>
      </c>
      <c r="S68" s="6">
        <v>0</v>
      </c>
      <c r="T68" s="6">
        <v>83</v>
      </c>
      <c r="U68" s="6">
        <v>53</v>
      </c>
      <c r="V68" s="70">
        <f>IF(ISERROR(VLOOKUP($S$68,'TAR FIN'!$A$1:$O$85,15,0)),0,VLOOKUP($S$68,'TAR FIN'!$A$1:$O$85,15,0))</f>
        <v>0</v>
      </c>
      <c r="W68" s="70">
        <f>IF(ISERROR(VLOOKUP($T$68,'TAR FIN'!$A$1:$O$85,15,0)),0,VLOOKUP($T$68,'TAR FIN'!$A$1:$O$85,15,0))*(1-0.04)</f>
        <v>3562.8191999999999</v>
      </c>
      <c r="X68" s="70">
        <f>IF(ISERROR(VLOOKUP($U$68,'TAR FIN'!$A$1:$O$85,15,0)),0,VLOOKUP($U$68,'TAR FIN'!$A$1:$O$85,15,0))*(1-0.04)</f>
        <v>193.66079999999999</v>
      </c>
      <c r="Y68" s="70"/>
      <c r="Z68" s="70">
        <f ca="1">('TUSD BE'!$AM$11+'TUSD BF'!$AM$11+'TUSD CVA'!$AM$11)*1*(1-0.02)</f>
        <v>4755.6250630698214</v>
      </c>
      <c r="AA68" s="70">
        <f>('TE BE'!$AA$5+'TE BF'!$AA$5+'TE CVA'!$AA$5)*1*(1-0.02)</f>
        <v>221.27889404302132</v>
      </c>
      <c r="AB68" s="6">
        <f>$K$68*$V$68</f>
        <v>0</v>
      </c>
      <c r="AC68" s="6">
        <f>$M$68*$W$68</f>
        <v>1418.0020416</v>
      </c>
      <c r="AD68" s="6">
        <f>$O$68*$X$68</f>
        <v>77.076998400000008</v>
      </c>
      <c r="AE68" s="6">
        <f>$K$68*$Y$68</f>
        <v>0</v>
      </c>
      <c r="AF68" s="6">
        <f ca="1">$M$68*$Z$68</f>
        <v>1892.7387751017891</v>
      </c>
      <c r="AG68" s="6">
        <f>$O$68*$AA$68</f>
        <v>88.06899982912249</v>
      </c>
    </row>
    <row r="69" spans="1:33" ht="11.25" customHeight="1" x14ac:dyDescent="0.3">
      <c r="A69" s="4" t="s">
        <v>21</v>
      </c>
      <c r="B69" s="4" t="s">
        <v>36</v>
      </c>
      <c r="C69" s="4" t="s">
        <v>37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38</v>
      </c>
      <c r="I69" s="5">
        <v>44378</v>
      </c>
      <c r="J69" s="6">
        <v>0</v>
      </c>
      <c r="K69" s="70">
        <v>0</v>
      </c>
      <c r="L69" s="6">
        <v>0.501</v>
      </c>
      <c r="M69" s="70">
        <v>0.501</v>
      </c>
      <c r="N69" s="6">
        <v>0.501</v>
      </c>
      <c r="O69" s="70">
        <v>0.501</v>
      </c>
      <c r="P69" s="6">
        <v>0</v>
      </c>
      <c r="Q69" s="4" t="s">
        <v>26</v>
      </c>
      <c r="R69" s="4">
        <v>0</v>
      </c>
      <c r="S69" s="6">
        <v>0</v>
      </c>
      <c r="T69" s="6">
        <v>83</v>
      </c>
      <c r="U69" s="6">
        <v>53</v>
      </c>
      <c r="V69" s="70">
        <f>IF(ISERROR(VLOOKUP($S$69,'TAR FIN'!$A$1:$O$85,15,0)),0,VLOOKUP($S$69,'TAR FIN'!$A$1:$O$85,15,0))</f>
        <v>0</v>
      </c>
      <c r="W69" s="70">
        <f>IF(ISERROR(VLOOKUP($T$69,'TAR FIN'!$A$1:$O$85,15,0)),0,VLOOKUP($T$69,'TAR FIN'!$A$1:$O$85,15,0))*(1-0.04)</f>
        <v>3562.8191999999999</v>
      </c>
      <c r="X69" s="70">
        <f>IF(ISERROR(VLOOKUP($U$69,'TAR FIN'!$A$1:$O$85,15,0)),0,VLOOKUP($U$69,'TAR FIN'!$A$1:$O$85,15,0))*(1-0.04)</f>
        <v>193.66079999999999</v>
      </c>
      <c r="Y69" s="70"/>
      <c r="Z69" s="70">
        <f ca="1">('TUSD BE'!$AM$11+'TUSD BF'!$AM$11+'TUSD CVA'!$AM$11)*1*(1-0.02)</f>
        <v>4755.6250630698214</v>
      </c>
      <c r="AA69" s="70">
        <f>('TE BE'!$AA$5+'TE BF'!$AA$5+'TE CVA'!$AA$5)*1*(1-0.02)</f>
        <v>221.27889404302132</v>
      </c>
      <c r="AB69" s="6">
        <f>$K$69*$V$69</f>
        <v>0</v>
      </c>
      <c r="AC69" s="6">
        <f>$M$69*$W$69</f>
        <v>1784.9724191999999</v>
      </c>
      <c r="AD69" s="6">
        <f>$O$69*$X$69</f>
        <v>97.024060800000001</v>
      </c>
      <c r="AE69" s="6">
        <f>$K$69*$Y$69</f>
        <v>0</v>
      </c>
      <c r="AF69" s="6">
        <f ca="1">$M$69*$Z$69</f>
        <v>2382.5681565979803</v>
      </c>
      <c r="AG69" s="6">
        <f>$O$69*$AA$69</f>
        <v>110.86072591555369</v>
      </c>
    </row>
    <row r="70" spans="1:33" ht="11.25" customHeight="1" x14ac:dyDescent="0.3">
      <c r="A70" s="4" t="s">
        <v>21</v>
      </c>
      <c r="B70" s="4" t="s">
        <v>36</v>
      </c>
      <c r="C70" s="4" t="s">
        <v>37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38</v>
      </c>
      <c r="I70" s="5">
        <v>44409</v>
      </c>
      <c r="J70" s="6">
        <v>0</v>
      </c>
      <c r="K70" s="70">
        <v>0</v>
      </c>
      <c r="L70" s="6">
        <v>0.30099999999999999</v>
      </c>
      <c r="M70" s="70">
        <v>0.30099999999999999</v>
      </c>
      <c r="N70" s="6">
        <v>0.30099999999999999</v>
      </c>
      <c r="O70" s="70">
        <v>0.30099999999999999</v>
      </c>
      <c r="P70" s="6">
        <v>0</v>
      </c>
      <c r="Q70" s="4" t="s">
        <v>26</v>
      </c>
      <c r="R70" s="4">
        <v>0</v>
      </c>
      <c r="S70" s="6">
        <v>0</v>
      </c>
      <c r="T70" s="6">
        <v>83</v>
      </c>
      <c r="U70" s="6">
        <v>53</v>
      </c>
      <c r="V70" s="70">
        <f>IF(ISERROR(VLOOKUP($S$70,'TAR FIN'!$A$1:$O$85,15,0)),0,VLOOKUP($S$70,'TAR FIN'!$A$1:$O$85,15,0))</f>
        <v>0</v>
      </c>
      <c r="W70" s="70">
        <f>IF(ISERROR(VLOOKUP($T$70,'TAR FIN'!$A$1:$O$85,15,0)),0,VLOOKUP($T$70,'TAR FIN'!$A$1:$O$85,15,0))*(1-0.04)</f>
        <v>3562.8191999999999</v>
      </c>
      <c r="X70" s="70">
        <f>IF(ISERROR(VLOOKUP($U$70,'TAR FIN'!$A$1:$O$85,15,0)),0,VLOOKUP($U$70,'TAR FIN'!$A$1:$O$85,15,0))*(1-0.04)</f>
        <v>193.66079999999999</v>
      </c>
      <c r="Y70" s="70"/>
      <c r="Z70" s="70">
        <f ca="1">('TUSD BE'!$AM$11+'TUSD BF'!$AM$11+'TUSD CVA'!$AM$11)*1*(1-0.02)</f>
        <v>4755.6250630698214</v>
      </c>
      <c r="AA70" s="70">
        <f>('TE BE'!$AA$5+'TE BF'!$AA$5+'TE CVA'!$AA$5)*1*(1-0.02)</f>
        <v>221.27889404302132</v>
      </c>
      <c r="AB70" s="6">
        <f>$K$70*$V$70</f>
        <v>0</v>
      </c>
      <c r="AC70" s="6">
        <f>$M$70*$W$70</f>
        <v>1072.4085791999998</v>
      </c>
      <c r="AD70" s="6">
        <f>$O$70*$X$70</f>
        <v>58.291900799999993</v>
      </c>
      <c r="AE70" s="6">
        <f>$K$70*$Y$70</f>
        <v>0</v>
      </c>
      <c r="AF70" s="6">
        <f ca="1">$M$70*$Z$70</f>
        <v>1431.4431439840162</v>
      </c>
      <c r="AG70" s="6">
        <f>$O$70*$AA$70</f>
        <v>66.60494710694941</v>
      </c>
    </row>
    <row r="71" spans="1:33" ht="11.25" customHeight="1" x14ac:dyDescent="0.3">
      <c r="A71" s="4" t="s">
        <v>21</v>
      </c>
      <c r="B71" s="4" t="s">
        <v>36</v>
      </c>
      <c r="C71" s="4" t="s">
        <v>37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38</v>
      </c>
      <c r="I71" s="5">
        <v>44440</v>
      </c>
      <c r="J71" s="6">
        <v>0</v>
      </c>
      <c r="K71" s="70">
        <v>0</v>
      </c>
      <c r="L71" s="6">
        <v>0.27100000000000002</v>
      </c>
      <c r="M71" s="70">
        <v>0.27100000000000002</v>
      </c>
      <c r="N71" s="6">
        <v>0.27100000000000002</v>
      </c>
      <c r="O71" s="70">
        <v>0.27100000000000002</v>
      </c>
      <c r="P71" s="6">
        <v>0</v>
      </c>
      <c r="Q71" s="4" t="s">
        <v>26</v>
      </c>
      <c r="R71" s="4">
        <v>0</v>
      </c>
      <c r="S71" s="6">
        <v>0</v>
      </c>
      <c r="T71" s="6">
        <v>83</v>
      </c>
      <c r="U71" s="6">
        <v>53</v>
      </c>
      <c r="V71" s="70">
        <f>IF(ISERROR(VLOOKUP($S$71,'TAR FIN'!$A$1:$O$85,15,0)),0,VLOOKUP($S$71,'TAR FIN'!$A$1:$O$85,15,0))</f>
        <v>0</v>
      </c>
      <c r="W71" s="70">
        <f>IF(ISERROR(VLOOKUP($T$71,'TAR FIN'!$A$1:$O$85,15,0)),0,VLOOKUP($T$71,'TAR FIN'!$A$1:$O$85,15,0))*(1-0.04)</f>
        <v>3562.8191999999999</v>
      </c>
      <c r="X71" s="70">
        <f>IF(ISERROR(VLOOKUP($U$71,'TAR FIN'!$A$1:$O$85,15,0)),0,VLOOKUP($U$71,'TAR FIN'!$A$1:$O$85,15,0))*(1-0.04)</f>
        <v>193.66079999999999</v>
      </c>
      <c r="Y71" s="70"/>
      <c r="Z71" s="70">
        <f ca="1">('TUSD BE'!$AM$11+'TUSD BF'!$AM$11+'TUSD CVA'!$AM$11)*1*(1-0.02)</f>
        <v>4755.6250630698214</v>
      </c>
      <c r="AA71" s="70">
        <f>('TE BE'!$AA$5+'TE BF'!$AA$5+'TE CVA'!$AA$5)*1*(1-0.02)</f>
        <v>221.27889404302132</v>
      </c>
      <c r="AB71" s="6">
        <f>$K$71*$V$71</f>
        <v>0</v>
      </c>
      <c r="AC71" s="6">
        <f>$M$71*$W$71</f>
        <v>965.52400320000004</v>
      </c>
      <c r="AD71" s="6">
        <f>$O$71*$X$71</f>
        <v>52.482076800000002</v>
      </c>
      <c r="AE71" s="6">
        <f>$K$71*$Y$71</f>
        <v>0</v>
      </c>
      <c r="AF71" s="6">
        <f ca="1">$M$71*$Z$71</f>
        <v>1288.7743920919218</v>
      </c>
      <c r="AG71" s="6">
        <f>$O$71*$AA$71</f>
        <v>59.966580285658786</v>
      </c>
    </row>
    <row r="72" spans="1:33" ht="11.25" customHeight="1" x14ac:dyDescent="0.3">
      <c r="A72" s="4" t="s">
        <v>21</v>
      </c>
      <c r="B72" s="4" t="s">
        <v>36</v>
      </c>
      <c r="C72" s="4" t="s">
        <v>37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44470</v>
      </c>
      <c r="J72" s="6">
        <v>0</v>
      </c>
      <c r="K72" s="70">
        <v>0</v>
      </c>
      <c r="L72" s="6">
        <v>0.32100000000000001</v>
      </c>
      <c r="M72" s="70">
        <v>0.32100000000000001</v>
      </c>
      <c r="N72" s="6">
        <v>0.32100000000000001</v>
      </c>
      <c r="O72" s="70">
        <v>0.32100000000000001</v>
      </c>
      <c r="P72" s="6">
        <v>0</v>
      </c>
      <c r="Q72" s="4" t="s">
        <v>26</v>
      </c>
      <c r="R72" s="4">
        <v>0</v>
      </c>
      <c r="S72" s="6">
        <v>0</v>
      </c>
      <c r="T72" s="6">
        <v>83</v>
      </c>
      <c r="U72" s="6">
        <v>53</v>
      </c>
      <c r="V72" s="70">
        <f>IF(ISERROR(VLOOKUP($S$72,'TAR FIN'!$A$1:$O$85,15,0)),0,VLOOKUP($S$72,'TAR FIN'!$A$1:$O$85,15,0))</f>
        <v>0</v>
      </c>
      <c r="W72" s="70">
        <f>IF(ISERROR(VLOOKUP($T$72,'TAR FIN'!$A$1:$O$85,15,0)),0,VLOOKUP($T$72,'TAR FIN'!$A$1:$O$85,15,0))*(1-0.04)</f>
        <v>3562.8191999999999</v>
      </c>
      <c r="X72" s="70">
        <f>IF(ISERROR(VLOOKUP($U$72,'TAR FIN'!$A$1:$O$85,15,0)),0,VLOOKUP($U$72,'TAR FIN'!$A$1:$O$85,15,0))*(1-0.04)</f>
        <v>193.66079999999999</v>
      </c>
      <c r="Y72" s="70"/>
      <c r="Z72" s="70">
        <f ca="1">('TUSD BE'!$AM$11+'TUSD BF'!$AM$11+'TUSD CVA'!$AM$11)*1*(1-0.02)</f>
        <v>4755.6250630698214</v>
      </c>
      <c r="AA72" s="70">
        <f>('TE BE'!$AA$5+'TE BF'!$AA$5+'TE CVA'!$AA$5)*1*(1-0.02)</f>
        <v>221.27889404302132</v>
      </c>
      <c r="AB72" s="6">
        <f>$K$72*$V$72</f>
        <v>0</v>
      </c>
      <c r="AC72" s="6">
        <f>$M$72*$W$72</f>
        <v>1143.6649632000001</v>
      </c>
      <c r="AD72" s="6">
        <f>$O$72*$X$72</f>
        <v>62.1651168</v>
      </c>
      <c r="AE72" s="6">
        <f>$K$72*$Y$72</f>
        <v>0</v>
      </c>
      <c r="AF72" s="6">
        <f ca="1">$M$72*$Z$72</f>
        <v>1526.5556452454127</v>
      </c>
      <c r="AG72" s="6">
        <f>$O$72*$AA$72</f>
        <v>71.030524987809841</v>
      </c>
    </row>
    <row r="73" spans="1:33" ht="11.25" customHeight="1" x14ac:dyDescent="0.3">
      <c r="A73" s="4" t="s">
        <v>21</v>
      </c>
      <c r="B73" s="4" t="s">
        <v>36</v>
      </c>
      <c r="C73" s="4" t="s">
        <v>37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44501</v>
      </c>
      <c r="J73" s="6">
        <v>0</v>
      </c>
      <c r="K73" s="70">
        <v>0</v>
      </c>
      <c r="L73" s="6">
        <v>0.34</v>
      </c>
      <c r="M73" s="70">
        <v>0.34</v>
      </c>
      <c r="N73" s="6">
        <v>0.34</v>
      </c>
      <c r="O73" s="70">
        <v>0.34</v>
      </c>
      <c r="P73" s="6">
        <v>0</v>
      </c>
      <c r="Q73" s="4" t="s">
        <v>26</v>
      </c>
      <c r="R73" s="4">
        <v>0</v>
      </c>
      <c r="S73" s="6">
        <v>0</v>
      </c>
      <c r="T73" s="6">
        <v>83</v>
      </c>
      <c r="U73" s="6">
        <v>53</v>
      </c>
      <c r="V73" s="70">
        <f>IF(ISERROR(VLOOKUP($S$73,'TAR FIN'!$A$1:$O$85,15,0)),0,VLOOKUP($S$73,'TAR FIN'!$A$1:$O$85,15,0))</f>
        <v>0</v>
      </c>
      <c r="W73" s="70">
        <f>IF(ISERROR(VLOOKUP($T$73,'TAR FIN'!$A$1:$O$85,15,0)),0,VLOOKUP($T$73,'TAR FIN'!$A$1:$O$85,15,0))*(1-0.04)</f>
        <v>3562.8191999999999</v>
      </c>
      <c r="X73" s="70">
        <f>IF(ISERROR(VLOOKUP($U$73,'TAR FIN'!$A$1:$O$85,15,0)),0,VLOOKUP($U$73,'TAR FIN'!$A$1:$O$85,15,0))*(1-0.04)</f>
        <v>193.66079999999999</v>
      </c>
      <c r="Y73" s="70"/>
      <c r="Z73" s="70">
        <f ca="1">('TUSD BE'!$AM$11+'TUSD BF'!$AM$11+'TUSD CVA'!$AM$11)*1*(1-0.02)</f>
        <v>4755.6250630698214</v>
      </c>
      <c r="AA73" s="70">
        <f>('TE BE'!$AA$5+'TE BF'!$AA$5+'TE CVA'!$AA$5)*1*(1-0.02)</f>
        <v>221.27889404302132</v>
      </c>
      <c r="AB73" s="6">
        <f>$K$73*$V$73</f>
        <v>0</v>
      </c>
      <c r="AC73" s="6">
        <f>$M$73*$W$73</f>
        <v>1211.358528</v>
      </c>
      <c r="AD73" s="6">
        <f>$O$73*$X$73</f>
        <v>65.844672000000003</v>
      </c>
      <c r="AE73" s="6">
        <f>$K$73*$Y$73</f>
        <v>0</v>
      </c>
      <c r="AF73" s="6">
        <f ca="1">$M$73*$Z$73</f>
        <v>1616.9125214437395</v>
      </c>
      <c r="AG73" s="6">
        <f>$O$73*$AA$73</f>
        <v>75.234823974627261</v>
      </c>
    </row>
    <row r="74" spans="1:33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44287</v>
      </c>
      <c r="J74" s="6">
        <v>0</v>
      </c>
      <c r="K74" s="6">
        <v>0</v>
      </c>
      <c r="L74" s="6">
        <v>726.19200000000001</v>
      </c>
      <c r="M74" s="6">
        <v>726.19200000000001</v>
      </c>
      <c r="N74" s="6">
        <v>726.19200000000001</v>
      </c>
      <c r="O74" s="6">
        <v>726.19200000000001</v>
      </c>
      <c r="P74" s="6">
        <v>4406</v>
      </c>
      <c r="Q74" s="4" t="s">
        <v>26</v>
      </c>
      <c r="R74" s="4">
        <v>0</v>
      </c>
      <c r="S74" s="6">
        <v>0</v>
      </c>
      <c r="T74" s="6">
        <v>48</v>
      </c>
      <c r="U74" s="6">
        <v>31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823.74</v>
      </c>
      <c r="X74" s="6">
        <f>IF(ISERROR(VLOOKUP($U$74,'TAR FIN'!$A$1:$O$85,15,0)),0,VLOOKUP($U$74,'TAR FIN'!$A$1:$O$85,15,0))</f>
        <v>201.73</v>
      </c>
      <c r="Y74" s="6"/>
      <c r="Z74" s="6">
        <f ca="1">('TUSD BE'!$AM$20+'TUSD BF'!$AM$20+'TUSD CVA'!$AM$20)*1</f>
        <v>1046.4709656688399</v>
      </c>
      <c r="AA74" s="6">
        <f>('TE BE'!$AA$10+'TE BF'!$AA$10+'TE CVA'!$AA$10)*1</f>
        <v>225.7947898398177</v>
      </c>
      <c r="AB74" s="6">
        <f>$K$74*$V$74</f>
        <v>0</v>
      </c>
      <c r="AC74" s="6">
        <f>$M$74*$W$74</f>
        <v>598193.39807999996</v>
      </c>
      <c r="AD74" s="6">
        <f>$O$74*$X$74</f>
        <v>146494.71216</v>
      </c>
      <c r="AE74" s="6">
        <f>$K$74*$Y$74</f>
        <v>0</v>
      </c>
      <c r="AF74" s="6">
        <f ca="1">$M$74*$Z$74</f>
        <v>759938.84350098623</v>
      </c>
      <c r="AG74" s="6">
        <f>$O$74*$AA$74</f>
        <v>163970.3700233569</v>
      </c>
    </row>
    <row r="75" spans="1:33" ht="11.25" customHeight="1" x14ac:dyDescent="0.3">
      <c r="A75" s="4" t="s">
        <v>27</v>
      </c>
      <c r="B75" s="4" t="s">
        <v>22</v>
      </c>
      <c r="C75" s="4" t="s">
        <v>23</v>
      </c>
      <c r="D75" s="4" t="s">
        <v>24</v>
      </c>
      <c r="E75" s="4" t="s">
        <v>24</v>
      </c>
      <c r="F75" s="4" t="s">
        <v>25</v>
      </c>
      <c r="G75" s="4" t="s">
        <v>25</v>
      </c>
      <c r="H75" s="4" t="s">
        <v>25</v>
      </c>
      <c r="I75" s="5">
        <v>44287</v>
      </c>
      <c r="J75" s="6">
        <v>0</v>
      </c>
      <c r="K75" s="6">
        <v>0</v>
      </c>
      <c r="L75" s="6">
        <v>-0.44700000000000001</v>
      </c>
      <c r="M75" s="6">
        <v>-0.44700000000000001</v>
      </c>
      <c r="N75" s="6">
        <v>-0.44700000000000001</v>
      </c>
      <c r="O75" s="6">
        <v>-0.44700000000000001</v>
      </c>
      <c r="P75" s="6">
        <v>0</v>
      </c>
      <c r="Q75" s="4" t="s">
        <v>26</v>
      </c>
      <c r="R75" s="4">
        <v>0</v>
      </c>
      <c r="S75" s="6">
        <v>0</v>
      </c>
      <c r="T75" s="6">
        <v>48</v>
      </c>
      <c r="U75" s="6">
        <v>31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823.74</v>
      </c>
      <c r="X75" s="6">
        <f>IF(ISERROR(VLOOKUP($U$75,'TAR FIN'!$A$1:$O$85,15,0)),0,VLOOKUP($U$75,'TAR FIN'!$A$1:$O$85,15,0))</f>
        <v>201.73</v>
      </c>
      <c r="Y75" s="6"/>
      <c r="Z75" s="6">
        <f ca="1">('TUSD BE'!$AM$20+'TUSD BF'!$AM$20+'TUSD CVA'!$AM$20)*1</f>
        <v>1046.4709656688399</v>
      </c>
      <c r="AA75" s="6">
        <f>('TE BE'!$AA$10+'TE BF'!$AA$10+'TE CVA'!$AA$10)*1</f>
        <v>225.7947898398177</v>
      </c>
      <c r="AB75" s="6">
        <f>$K$75*$V$75</f>
        <v>0</v>
      </c>
      <c r="AC75" s="6">
        <f>$M$75*$W$75</f>
        <v>-368.21178000000003</v>
      </c>
      <c r="AD75" s="6">
        <f>$O$75*$X$75</f>
        <v>-90.173310000000001</v>
      </c>
      <c r="AE75" s="6">
        <f>$K$75*$Y$75</f>
        <v>0</v>
      </c>
      <c r="AF75" s="6">
        <f ca="1">$M$75*$Z$75</f>
        <v>-467.77252165397141</v>
      </c>
      <c r="AG75" s="6">
        <f>$O$75*$AA$75</f>
        <v>-100.93027105839852</v>
      </c>
    </row>
    <row r="76" spans="1:33" ht="11.25" customHeight="1" x14ac:dyDescent="0.3">
      <c r="A76" s="4" t="s">
        <v>28</v>
      </c>
      <c r="B76" s="4" t="s">
        <v>22</v>
      </c>
      <c r="C76" s="4" t="s">
        <v>23</v>
      </c>
      <c r="D76" s="4" t="s">
        <v>24</v>
      </c>
      <c r="E76" s="4" t="s">
        <v>24</v>
      </c>
      <c r="F76" s="4" t="s">
        <v>25</v>
      </c>
      <c r="G76" s="4" t="s">
        <v>25</v>
      </c>
      <c r="H76" s="4" t="s">
        <v>25</v>
      </c>
      <c r="I76" s="5">
        <v>44287</v>
      </c>
      <c r="J76" s="6">
        <v>0</v>
      </c>
      <c r="K76" s="6">
        <v>0</v>
      </c>
      <c r="L76" s="6">
        <v>2.964</v>
      </c>
      <c r="M76" s="6">
        <v>2.964</v>
      </c>
      <c r="N76" s="6">
        <v>2.964</v>
      </c>
      <c r="O76" s="6">
        <v>2.964</v>
      </c>
      <c r="P76" s="6">
        <v>13</v>
      </c>
      <c r="Q76" s="4" t="s">
        <v>26</v>
      </c>
      <c r="R76" s="4">
        <v>0</v>
      </c>
      <c r="S76" s="6">
        <v>0</v>
      </c>
      <c r="T76" s="6">
        <v>48</v>
      </c>
      <c r="U76" s="6">
        <v>31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823.74</v>
      </c>
      <c r="X76" s="6">
        <f>IF(ISERROR(VLOOKUP($U$76,'TAR FIN'!$A$1:$O$85,15,0)),0,VLOOKUP($U$76,'TAR FIN'!$A$1:$O$85,15,0))</f>
        <v>201.73</v>
      </c>
      <c r="Y76" s="6"/>
      <c r="Z76" s="6">
        <f ca="1">('TUSD BE'!$AM$20+'TUSD BF'!$AM$20+'TUSD CVA'!$AM$20)*1</f>
        <v>1046.4709656688399</v>
      </c>
      <c r="AA76" s="6">
        <f>('TE BE'!$AA$10+'TE BF'!$AA$10+'TE CVA'!$AA$10)*1</f>
        <v>225.7947898398177</v>
      </c>
      <c r="AB76" s="6">
        <f>$K$76*$V$76</f>
        <v>0</v>
      </c>
      <c r="AC76" s="6">
        <f>$M$76*$W$76</f>
        <v>2441.5653600000001</v>
      </c>
      <c r="AD76" s="6">
        <f>$O$76*$X$76</f>
        <v>597.92771999999991</v>
      </c>
      <c r="AE76" s="6">
        <f>$K$76*$Y$76</f>
        <v>0</v>
      </c>
      <c r="AF76" s="6">
        <f ca="1">$M$76*$Z$76</f>
        <v>3101.7399422424414</v>
      </c>
      <c r="AG76" s="6">
        <f>$O$76*$AA$76</f>
        <v>669.25575708521967</v>
      </c>
    </row>
    <row r="77" spans="1:33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24</v>
      </c>
      <c r="F77" s="4" t="s">
        <v>25</v>
      </c>
      <c r="G77" s="4" t="s">
        <v>25</v>
      </c>
      <c r="H77" s="4" t="s">
        <v>25</v>
      </c>
      <c r="I77" s="5">
        <v>44317</v>
      </c>
      <c r="J77" s="6">
        <v>0</v>
      </c>
      <c r="K77" s="6">
        <v>0</v>
      </c>
      <c r="L77" s="6">
        <v>682.52300000000002</v>
      </c>
      <c r="M77" s="6">
        <v>682.52300000000002</v>
      </c>
      <c r="N77" s="6">
        <v>682.52300000000002</v>
      </c>
      <c r="O77" s="6">
        <v>682.52300000000002</v>
      </c>
      <c r="P77" s="6">
        <v>4398</v>
      </c>
      <c r="Q77" s="4" t="s">
        <v>26</v>
      </c>
      <c r="R77" s="4">
        <v>0</v>
      </c>
      <c r="S77" s="6">
        <v>0</v>
      </c>
      <c r="T77" s="6">
        <v>48</v>
      </c>
      <c r="U77" s="6">
        <v>31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823.74</v>
      </c>
      <c r="X77" s="6">
        <f>IF(ISERROR(VLOOKUP($U$77,'TAR FIN'!$A$1:$O$85,15,0)),0,VLOOKUP($U$77,'TAR FIN'!$A$1:$O$85,15,0))</f>
        <v>201.73</v>
      </c>
      <c r="Y77" s="6"/>
      <c r="Z77" s="6">
        <f ca="1">('TUSD BE'!$AM$20+'TUSD BF'!$AM$20+'TUSD CVA'!$AM$20)*1</f>
        <v>1046.4709656688399</v>
      </c>
      <c r="AA77" s="6">
        <f>('TE BE'!$AA$10+'TE BF'!$AA$10+'TE CVA'!$AA$10)*1</f>
        <v>225.7947898398177</v>
      </c>
      <c r="AB77" s="6">
        <f>$K$77*$V$77</f>
        <v>0</v>
      </c>
      <c r="AC77" s="6">
        <f>$M$77*$W$77</f>
        <v>562221.49602000008</v>
      </c>
      <c r="AD77" s="6">
        <f>$O$77*$X$77</f>
        <v>137685.36478999999</v>
      </c>
      <c r="AE77" s="6">
        <f>$K$77*$Y$77</f>
        <v>0</v>
      </c>
      <c r="AF77" s="6">
        <f ca="1">$M$77*$Z$77</f>
        <v>714240.50290119369</v>
      </c>
      <c r="AG77" s="6">
        <f>$O$77*$AA$77</f>
        <v>154110.13734584191</v>
      </c>
    </row>
    <row r="78" spans="1:33" ht="11.25" customHeight="1" x14ac:dyDescent="0.3">
      <c r="A78" s="4" t="s">
        <v>27</v>
      </c>
      <c r="B78" s="4" t="s">
        <v>22</v>
      </c>
      <c r="C78" s="4" t="s">
        <v>23</v>
      </c>
      <c r="D78" s="4" t="s">
        <v>24</v>
      </c>
      <c r="E78" s="4" t="s">
        <v>24</v>
      </c>
      <c r="F78" s="4" t="s">
        <v>25</v>
      </c>
      <c r="G78" s="4" t="s">
        <v>25</v>
      </c>
      <c r="H78" s="4" t="s">
        <v>25</v>
      </c>
      <c r="I78" s="5">
        <v>44317</v>
      </c>
      <c r="J78" s="6">
        <v>0</v>
      </c>
      <c r="K78" s="6">
        <v>0</v>
      </c>
      <c r="L78" s="6">
        <v>-0.53200000000000003</v>
      </c>
      <c r="M78" s="6">
        <v>-0.53200000000000003</v>
      </c>
      <c r="N78" s="6">
        <v>-0.53200000000000003</v>
      </c>
      <c r="O78" s="6">
        <v>-0.53200000000000003</v>
      </c>
      <c r="P78" s="6">
        <v>0</v>
      </c>
      <c r="Q78" s="4" t="s">
        <v>26</v>
      </c>
      <c r="R78" s="4">
        <v>0</v>
      </c>
      <c r="S78" s="6">
        <v>0</v>
      </c>
      <c r="T78" s="6">
        <v>48</v>
      </c>
      <c r="U78" s="6">
        <v>31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823.74</v>
      </c>
      <c r="X78" s="6">
        <f>IF(ISERROR(VLOOKUP($U$78,'TAR FIN'!$A$1:$O$85,15,0)),0,VLOOKUP($U$78,'TAR FIN'!$A$1:$O$85,15,0))</f>
        <v>201.73</v>
      </c>
      <c r="Y78" s="6"/>
      <c r="Z78" s="6">
        <f ca="1">('TUSD BE'!$AM$20+'TUSD BF'!$AM$20+'TUSD CVA'!$AM$20)*1</f>
        <v>1046.4709656688399</v>
      </c>
      <c r="AA78" s="6">
        <f>('TE BE'!$AA$10+'TE BF'!$AA$10+'TE CVA'!$AA$10)*1</f>
        <v>225.7947898398177</v>
      </c>
      <c r="AB78" s="6">
        <f>$K$78*$V$78</f>
        <v>0</v>
      </c>
      <c r="AC78" s="6">
        <f>$M$78*$W$78</f>
        <v>-438.22968000000003</v>
      </c>
      <c r="AD78" s="6">
        <f>$O$78*$X$78</f>
        <v>-107.32035999999999</v>
      </c>
      <c r="AE78" s="6">
        <f>$K$78*$Y$78</f>
        <v>0</v>
      </c>
      <c r="AF78" s="6">
        <f ca="1">$M$78*$Z$78</f>
        <v>-556.72255373582288</v>
      </c>
      <c r="AG78" s="6">
        <f>$O$78*$AA$78</f>
        <v>-120.12282819478303</v>
      </c>
    </row>
    <row r="79" spans="1:33" ht="11.25" customHeight="1" x14ac:dyDescent="0.3">
      <c r="A79" s="4" t="s">
        <v>28</v>
      </c>
      <c r="B79" s="4" t="s">
        <v>22</v>
      </c>
      <c r="C79" s="4" t="s">
        <v>23</v>
      </c>
      <c r="D79" s="4" t="s">
        <v>24</v>
      </c>
      <c r="E79" s="4" t="s">
        <v>24</v>
      </c>
      <c r="F79" s="4" t="s">
        <v>25</v>
      </c>
      <c r="G79" s="4" t="s">
        <v>25</v>
      </c>
      <c r="H79" s="4" t="s">
        <v>25</v>
      </c>
      <c r="I79" s="5">
        <v>44317</v>
      </c>
      <c r="J79" s="6">
        <v>0</v>
      </c>
      <c r="K79" s="6">
        <v>0</v>
      </c>
      <c r="L79" s="6">
        <v>2.2170000000000001</v>
      </c>
      <c r="M79" s="6">
        <v>2.2170000000000001</v>
      </c>
      <c r="N79" s="6">
        <v>2.2170000000000001</v>
      </c>
      <c r="O79" s="6">
        <v>2.2170000000000001</v>
      </c>
      <c r="P79" s="6">
        <v>14</v>
      </c>
      <c r="Q79" s="4" t="s">
        <v>26</v>
      </c>
      <c r="R79" s="4">
        <v>0</v>
      </c>
      <c r="S79" s="6">
        <v>0</v>
      </c>
      <c r="T79" s="6">
        <v>48</v>
      </c>
      <c r="U79" s="6">
        <v>31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823.74</v>
      </c>
      <c r="X79" s="6">
        <f>IF(ISERROR(VLOOKUP($U$79,'TAR FIN'!$A$1:$O$85,15,0)),0,VLOOKUP($U$79,'TAR FIN'!$A$1:$O$85,15,0))</f>
        <v>201.73</v>
      </c>
      <c r="Y79" s="6"/>
      <c r="Z79" s="6">
        <f ca="1">('TUSD BE'!$AM$20+'TUSD BF'!$AM$20+'TUSD CVA'!$AM$20)*1</f>
        <v>1046.4709656688399</v>
      </c>
      <c r="AA79" s="6">
        <f>('TE BE'!$AA$10+'TE BF'!$AA$10+'TE CVA'!$AA$10)*1</f>
        <v>225.7947898398177</v>
      </c>
      <c r="AB79" s="6">
        <f>$K$79*$V$79</f>
        <v>0</v>
      </c>
      <c r="AC79" s="6">
        <f>$M$79*$W$79</f>
        <v>1826.2315800000001</v>
      </c>
      <c r="AD79" s="6">
        <f>$O$79*$X$79</f>
        <v>447.23541</v>
      </c>
      <c r="AE79" s="6">
        <f>$K$79*$Y$79</f>
        <v>0</v>
      </c>
      <c r="AF79" s="6">
        <f ca="1">$M$79*$Z$79</f>
        <v>2320.026130887818</v>
      </c>
      <c r="AG79" s="6">
        <f>$O$79*$AA$79</f>
        <v>500.58704907487584</v>
      </c>
    </row>
    <row r="80" spans="1:33" ht="11.25" customHeight="1" x14ac:dyDescent="0.3">
      <c r="A80" s="4" t="s">
        <v>28</v>
      </c>
      <c r="B80" s="4" t="s">
        <v>22</v>
      </c>
      <c r="C80" s="4" t="s">
        <v>23</v>
      </c>
      <c r="D80" s="4" t="s">
        <v>24</v>
      </c>
      <c r="E80" s="4" t="s">
        <v>24</v>
      </c>
      <c r="F80" s="4" t="s">
        <v>25</v>
      </c>
      <c r="G80" s="4" t="s">
        <v>25</v>
      </c>
      <c r="H80" s="4" t="s">
        <v>25</v>
      </c>
      <c r="I80" s="5">
        <v>44317</v>
      </c>
      <c r="J80" s="6">
        <v>0</v>
      </c>
      <c r="K80" s="6">
        <v>0</v>
      </c>
      <c r="L80" s="6">
        <v>-2.5999999999999999E-2</v>
      </c>
      <c r="M80" s="6">
        <v>-2.5999999999999999E-2</v>
      </c>
      <c r="N80" s="6">
        <v>-2.5999999999999999E-2</v>
      </c>
      <c r="O80" s="6">
        <v>-2.5999999999999999E-2</v>
      </c>
      <c r="P80" s="6">
        <v>1</v>
      </c>
      <c r="Q80" s="4" t="s">
        <v>26</v>
      </c>
      <c r="R80" s="4">
        <v>0</v>
      </c>
      <c r="S80" s="6">
        <v>0</v>
      </c>
      <c r="T80" s="6">
        <v>48</v>
      </c>
      <c r="U80" s="6">
        <v>31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823.74</v>
      </c>
      <c r="X80" s="6">
        <f>IF(ISERROR(VLOOKUP($U$80,'TAR FIN'!$A$1:$O$85,15,0)),0,VLOOKUP($U$80,'TAR FIN'!$A$1:$O$85,15,0))</f>
        <v>201.73</v>
      </c>
      <c r="Y80" s="6"/>
      <c r="Z80" s="6">
        <f ca="1">('TUSD BE'!$AM$20+'TUSD BF'!$AM$20+'TUSD CVA'!$AM$20)*1</f>
        <v>1046.4709656688399</v>
      </c>
      <c r="AA80" s="6">
        <f>('TE BE'!$AA$10+'TE BF'!$AA$10+'TE CVA'!$AA$10)*1</f>
        <v>225.7947898398177</v>
      </c>
      <c r="AB80" s="6">
        <f>$K$80*$V$80</f>
        <v>0</v>
      </c>
      <c r="AC80" s="6">
        <f>$M$80*$W$80</f>
        <v>-21.41724</v>
      </c>
      <c r="AD80" s="6">
        <f>$O$80*$X$80</f>
        <v>-5.2449799999999991</v>
      </c>
      <c r="AE80" s="6">
        <f>$K$80*$Y$80</f>
        <v>0</v>
      </c>
      <c r="AF80" s="6">
        <f ca="1">$M$80*$Z$80</f>
        <v>-27.208245107389835</v>
      </c>
      <c r="AG80" s="6">
        <f>$O$80*$AA$80</f>
        <v>-5.8706645358352603</v>
      </c>
    </row>
    <row r="81" spans="1:33" ht="11.25" customHeight="1" x14ac:dyDescent="0.3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24</v>
      </c>
      <c r="F81" s="4" t="s">
        <v>25</v>
      </c>
      <c r="G81" s="4" t="s">
        <v>25</v>
      </c>
      <c r="H81" s="4" t="s">
        <v>25</v>
      </c>
      <c r="I81" s="5">
        <v>44348</v>
      </c>
      <c r="J81" s="6">
        <v>0</v>
      </c>
      <c r="K81" s="6">
        <v>0</v>
      </c>
      <c r="L81" s="6">
        <v>687.22199999999998</v>
      </c>
      <c r="M81" s="6">
        <v>687.22199999999998</v>
      </c>
      <c r="N81" s="6">
        <v>687.22199999999998</v>
      </c>
      <c r="O81" s="6">
        <v>687.22199999999998</v>
      </c>
      <c r="P81" s="6">
        <v>4420</v>
      </c>
      <c r="Q81" s="4" t="s">
        <v>26</v>
      </c>
      <c r="R81" s="4">
        <v>0</v>
      </c>
      <c r="S81" s="6">
        <v>0</v>
      </c>
      <c r="T81" s="6">
        <v>48</v>
      </c>
      <c r="U81" s="6">
        <v>31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823.74</v>
      </c>
      <c r="X81" s="6">
        <f>IF(ISERROR(VLOOKUP($U$81,'TAR FIN'!$A$1:$O$85,15,0)),0,VLOOKUP($U$81,'TAR FIN'!$A$1:$O$85,15,0))</f>
        <v>201.73</v>
      </c>
      <c r="Y81" s="6"/>
      <c r="Z81" s="6">
        <f ca="1">('TUSD BE'!$AM$20+'TUSD BF'!$AM$20+'TUSD CVA'!$AM$20)*1</f>
        <v>1046.4709656688399</v>
      </c>
      <c r="AA81" s="6">
        <f>('TE BE'!$AA$10+'TE BF'!$AA$10+'TE CVA'!$AA$10)*1</f>
        <v>225.7947898398177</v>
      </c>
      <c r="AB81" s="6">
        <f>$K$81*$V$81</f>
        <v>0</v>
      </c>
      <c r="AC81" s="6">
        <f>$M$81*$W$81</f>
        <v>566092.25028000004</v>
      </c>
      <c r="AD81" s="6">
        <f>$O$81*$X$81</f>
        <v>138633.29405999999</v>
      </c>
      <c r="AE81" s="6">
        <f>$K$81*$Y$81</f>
        <v>0</v>
      </c>
      <c r="AF81" s="6">
        <f ca="1">$M$81*$Z$81</f>
        <v>719157.86996887147</v>
      </c>
      <c r="AG81" s="6">
        <f>$O$81*$AA$81</f>
        <v>155171.1470632992</v>
      </c>
    </row>
    <row r="82" spans="1:33" ht="11.25" customHeight="1" x14ac:dyDescent="0.3">
      <c r="A82" s="4" t="s">
        <v>27</v>
      </c>
      <c r="B82" s="4" t="s">
        <v>22</v>
      </c>
      <c r="C82" s="4" t="s">
        <v>23</v>
      </c>
      <c r="D82" s="4" t="s">
        <v>24</v>
      </c>
      <c r="E82" s="4" t="s">
        <v>24</v>
      </c>
      <c r="F82" s="4" t="s">
        <v>25</v>
      </c>
      <c r="G82" s="4" t="s">
        <v>25</v>
      </c>
      <c r="H82" s="4" t="s">
        <v>25</v>
      </c>
      <c r="I82" s="5">
        <v>44348</v>
      </c>
      <c r="J82" s="6">
        <v>0</v>
      </c>
      <c r="K82" s="6">
        <v>0</v>
      </c>
      <c r="L82" s="6">
        <v>-0.436</v>
      </c>
      <c r="M82" s="6">
        <v>-0.436</v>
      </c>
      <c r="N82" s="6">
        <v>-0.436</v>
      </c>
      <c r="O82" s="6">
        <v>-0.436</v>
      </c>
      <c r="P82" s="6">
        <v>0</v>
      </c>
      <c r="Q82" s="4" t="s">
        <v>26</v>
      </c>
      <c r="R82" s="4">
        <v>0</v>
      </c>
      <c r="S82" s="6">
        <v>0</v>
      </c>
      <c r="T82" s="6">
        <v>48</v>
      </c>
      <c r="U82" s="6">
        <v>31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823.74</v>
      </c>
      <c r="X82" s="6">
        <f>IF(ISERROR(VLOOKUP($U$82,'TAR FIN'!$A$1:$O$85,15,0)),0,VLOOKUP($U$82,'TAR FIN'!$A$1:$O$85,15,0))</f>
        <v>201.73</v>
      </c>
      <c r="Y82" s="6"/>
      <c r="Z82" s="6">
        <f ca="1">('TUSD BE'!$AM$20+'TUSD BF'!$AM$20+'TUSD CVA'!$AM$20)*1</f>
        <v>1046.4709656688399</v>
      </c>
      <c r="AA82" s="6">
        <f>('TE BE'!$AA$10+'TE BF'!$AA$10+'TE CVA'!$AA$10)*1</f>
        <v>225.7947898398177</v>
      </c>
      <c r="AB82" s="6">
        <f>$K$82*$V$82</f>
        <v>0</v>
      </c>
      <c r="AC82" s="6">
        <f>$M$82*$W$82</f>
        <v>-359.15064000000001</v>
      </c>
      <c r="AD82" s="6">
        <f>$O$82*$X$82</f>
        <v>-87.954279999999997</v>
      </c>
      <c r="AE82" s="6">
        <f>$K$82*$Y$82</f>
        <v>0</v>
      </c>
      <c r="AF82" s="6">
        <f ca="1">$M$82*$Z$82</f>
        <v>-456.26134103161417</v>
      </c>
      <c r="AG82" s="6">
        <f>$O$82*$AA$82</f>
        <v>-98.446528370160522</v>
      </c>
    </row>
    <row r="83" spans="1:33" ht="11.25" customHeight="1" x14ac:dyDescent="0.3">
      <c r="A83" s="4" t="s">
        <v>28</v>
      </c>
      <c r="B83" s="4" t="s">
        <v>22</v>
      </c>
      <c r="C83" s="4" t="s">
        <v>23</v>
      </c>
      <c r="D83" s="4" t="s">
        <v>24</v>
      </c>
      <c r="E83" s="4" t="s">
        <v>24</v>
      </c>
      <c r="F83" s="4" t="s">
        <v>25</v>
      </c>
      <c r="G83" s="4" t="s">
        <v>25</v>
      </c>
      <c r="H83" s="4" t="s">
        <v>25</v>
      </c>
      <c r="I83" s="5">
        <v>44348</v>
      </c>
      <c r="J83" s="6">
        <v>0</v>
      </c>
      <c r="K83" s="6">
        <v>0</v>
      </c>
      <c r="L83" s="6">
        <v>2.7320000000000002</v>
      </c>
      <c r="M83" s="6">
        <v>2.7320000000000002</v>
      </c>
      <c r="N83" s="6">
        <v>2.7320000000000002</v>
      </c>
      <c r="O83" s="6">
        <v>2.7320000000000002</v>
      </c>
      <c r="P83" s="6">
        <v>14</v>
      </c>
      <c r="Q83" s="4" t="s">
        <v>26</v>
      </c>
      <c r="R83" s="4">
        <v>0</v>
      </c>
      <c r="S83" s="6">
        <v>0</v>
      </c>
      <c r="T83" s="6">
        <v>48</v>
      </c>
      <c r="U83" s="6">
        <v>31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823.74</v>
      </c>
      <c r="X83" s="6">
        <f>IF(ISERROR(VLOOKUP($U$83,'TAR FIN'!$A$1:$O$85,15,0)),0,VLOOKUP($U$83,'TAR FIN'!$A$1:$O$85,15,0))</f>
        <v>201.73</v>
      </c>
      <c r="Y83" s="6"/>
      <c r="Z83" s="6">
        <f ca="1">('TUSD BE'!$AM$20+'TUSD BF'!$AM$20+'TUSD CVA'!$AM$20)*1</f>
        <v>1046.4709656688399</v>
      </c>
      <c r="AA83" s="6">
        <f>('TE BE'!$AA$10+'TE BF'!$AA$10+'TE CVA'!$AA$10)*1</f>
        <v>225.7947898398177</v>
      </c>
      <c r="AB83" s="6">
        <f>$K$83*$V$83</f>
        <v>0</v>
      </c>
      <c r="AC83" s="6">
        <f>$M$83*$W$83</f>
        <v>2250.45768</v>
      </c>
      <c r="AD83" s="6">
        <f>$O$83*$X$83</f>
        <v>551.12635999999998</v>
      </c>
      <c r="AE83" s="6">
        <f>$K$83*$Y$83</f>
        <v>0</v>
      </c>
      <c r="AF83" s="6">
        <f ca="1">$M$83*$Z$83</f>
        <v>2858.9586782072706</v>
      </c>
      <c r="AG83" s="6">
        <f>$O$83*$AA$83</f>
        <v>616.87136584238203</v>
      </c>
    </row>
    <row r="84" spans="1:33" ht="11.25" customHeight="1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24</v>
      </c>
      <c r="F84" s="4" t="s">
        <v>25</v>
      </c>
      <c r="G84" s="4" t="s">
        <v>25</v>
      </c>
      <c r="H84" s="4" t="s">
        <v>25</v>
      </c>
      <c r="I84" s="5">
        <v>44378</v>
      </c>
      <c r="J84" s="6">
        <v>0</v>
      </c>
      <c r="K84" s="6">
        <v>0</v>
      </c>
      <c r="L84" s="6">
        <v>651.87</v>
      </c>
      <c r="M84" s="6">
        <v>651.87</v>
      </c>
      <c r="N84" s="6">
        <v>651.87</v>
      </c>
      <c r="O84" s="6">
        <v>651.87</v>
      </c>
      <c r="P84" s="6">
        <v>4435</v>
      </c>
      <c r="Q84" s="4" t="s">
        <v>26</v>
      </c>
      <c r="R84" s="4">
        <v>0</v>
      </c>
      <c r="S84" s="6">
        <v>0</v>
      </c>
      <c r="T84" s="6">
        <v>48</v>
      </c>
      <c r="U84" s="6">
        <v>31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823.74</v>
      </c>
      <c r="X84" s="6">
        <f>IF(ISERROR(VLOOKUP($U$84,'TAR FIN'!$A$1:$O$85,15,0)),0,VLOOKUP($U$84,'TAR FIN'!$A$1:$O$85,15,0))</f>
        <v>201.73</v>
      </c>
      <c r="Y84" s="6"/>
      <c r="Z84" s="6">
        <f ca="1">('TUSD BE'!$AM$20+'TUSD BF'!$AM$20+'TUSD CVA'!$AM$20)*1</f>
        <v>1046.4709656688399</v>
      </c>
      <c r="AA84" s="6">
        <f>('TE BE'!$AA$10+'TE BF'!$AA$10+'TE CVA'!$AA$10)*1</f>
        <v>225.7947898398177</v>
      </c>
      <c r="AB84" s="6">
        <f>$K$84*$V$84</f>
        <v>0</v>
      </c>
      <c r="AC84" s="6">
        <f>$M$84*$W$84</f>
        <v>536971.39379999996</v>
      </c>
      <c r="AD84" s="6">
        <f>$O$84*$X$84</f>
        <v>131501.73509999999</v>
      </c>
      <c r="AE84" s="6">
        <f>$K$84*$Y$84</f>
        <v>0</v>
      </c>
      <c r="AF84" s="6">
        <f ca="1">$M$84*$Z$84</f>
        <v>682163.02839054668</v>
      </c>
      <c r="AG84" s="6">
        <f>$O$84*$AA$84</f>
        <v>147188.84965288197</v>
      </c>
    </row>
    <row r="85" spans="1:33" ht="11.25" customHeight="1" x14ac:dyDescent="0.3">
      <c r="A85" s="4" t="s">
        <v>27</v>
      </c>
      <c r="B85" s="4" t="s">
        <v>22</v>
      </c>
      <c r="C85" s="4" t="s">
        <v>23</v>
      </c>
      <c r="D85" s="4" t="s">
        <v>24</v>
      </c>
      <c r="E85" s="4" t="s">
        <v>24</v>
      </c>
      <c r="F85" s="4" t="s">
        <v>25</v>
      </c>
      <c r="G85" s="4" t="s">
        <v>25</v>
      </c>
      <c r="H85" s="4" t="s">
        <v>25</v>
      </c>
      <c r="I85" s="5">
        <v>44378</v>
      </c>
      <c r="J85" s="6">
        <v>0</v>
      </c>
      <c r="K85" s="6">
        <v>0</v>
      </c>
      <c r="L85" s="6">
        <v>-0.48</v>
      </c>
      <c r="M85" s="6">
        <v>-0.48</v>
      </c>
      <c r="N85" s="6">
        <v>-0.48</v>
      </c>
      <c r="O85" s="6">
        <v>-0.48</v>
      </c>
      <c r="P85" s="6">
        <v>0</v>
      </c>
      <c r="Q85" s="4" t="s">
        <v>26</v>
      </c>
      <c r="R85" s="4">
        <v>0</v>
      </c>
      <c r="S85" s="6">
        <v>0</v>
      </c>
      <c r="T85" s="6">
        <v>48</v>
      </c>
      <c r="U85" s="6">
        <v>31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823.74</v>
      </c>
      <c r="X85" s="6">
        <f>IF(ISERROR(VLOOKUP($U$85,'TAR FIN'!$A$1:$O$85,15,0)),0,VLOOKUP($U$85,'TAR FIN'!$A$1:$O$85,15,0))</f>
        <v>201.73</v>
      </c>
      <c r="Y85" s="6"/>
      <c r="Z85" s="6">
        <f ca="1">('TUSD BE'!$AM$20+'TUSD BF'!$AM$20+'TUSD CVA'!$AM$20)*1</f>
        <v>1046.4709656688399</v>
      </c>
      <c r="AA85" s="6">
        <f>('TE BE'!$AA$10+'TE BF'!$AA$10+'TE CVA'!$AA$10)*1</f>
        <v>225.7947898398177</v>
      </c>
      <c r="AB85" s="6">
        <f>$K$85*$V$85</f>
        <v>0</v>
      </c>
      <c r="AC85" s="6">
        <f>$M$85*$W$85</f>
        <v>-395.39519999999999</v>
      </c>
      <c r="AD85" s="6">
        <f>$O$85*$X$85</f>
        <v>-96.830399999999997</v>
      </c>
      <c r="AE85" s="6">
        <f>$K$85*$Y$85</f>
        <v>0</v>
      </c>
      <c r="AF85" s="6">
        <f ca="1">$M$85*$Z$85</f>
        <v>-502.30606352104314</v>
      </c>
      <c r="AG85" s="6">
        <f>$O$85*$AA$85</f>
        <v>-108.38149912311249</v>
      </c>
    </row>
    <row r="86" spans="1:33" ht="11.25" customHeight="1" x14ac:dyDescent="0.3">
      <c r="A86" s="4" t="s">
        <v>28</v>
      </c>
      <c r="B86" s="4" t="s">
        <v>22</v>
      </c>
      <c r="C86" s="4" t="s">
        <v>23</v>
      </c>
      <c r="D86" s="4" t="s">
        <v>24</v>
      </c>
      <c r="E86" s="4" t="s">
        <v>24</v>
      </c>
      <c r="F86" s="4" t="s">
        <v>25</v>
      </c>
      <c r="G86" s="4" t="s">
        <v>25</v>
      </c>
      <c r="H86" s="4" t="s">
        <v>25</v>
      </c>
      <c r="I86" s="5">
        <v>44378</v>
      </c>
      <c r="J86" s="6">
        <v>0</v>
      </c>
      <c r="K86" s="6">
        <v>0</v>
      </c>
      <c r="L86" s="6">
        <v>2.2919999999999998</v>
      </c>
      <c r="M86" s="6">
        <v>2.2919999999999998</v>
      </c>
      <c r="N86" s="6">
        <v>2.2919999999999998</v>
      </c>
      <c r="O86" s="6">
        <v>2.2919999999999998</v>
      </c>
      <c r="P86" s="6">
        <v>14</v>
      </c>
      <c r="Q86" s="4" t="s">
        <v>26</v>
      </c>
      <c r="R86" s="4">
        <v>0</v>
      </c>
      <c r="S86" s="6">
        <v>0</v>
      </c>
      <c r="T86" s="6">
        <v>48</v>
      </c>
      <c r="U86" s="6">
        <v>31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823.74</v>
      </c>
      <c r="X86" s="6">
        <f>IF(ISERROR(VLOOKUP($U$86,'TAR FIN'!$A$1:$O$85,15,0)),0,VLOOKUP($U$86,'TAR FIN'!$A$1:$O$85,15,0))</f>
        <v>201.73</v>
      </c>
      <c r="Y86" s="6"/>
      <c r="Z86" s="6">
        <f ca="1">('TUSD BE'!$AM$20+'TUSD BF'!$AM$20+'TUSD CVA'!$AM$20)*1</f>
        <v>1046.4709656688399</v>
      </c>
      <c r="AA86" s="6">
        <f>('TE BE'!$AA$10+'TE BF'!$AA$10+'TE CVA'!$AA$10)*1</f>
        <v>225.7947898398177</v>
      </c>
      <c r="AB86" s="6">
        <f>$K$86*$V$86</f>
        <v>0</v>
      </c>
      <c r="AC86" s="6">
        <f>$M$86*$W$86</f>
        <v>1888.01208</v>
      </c>
      <c r="AD86" s="6">
        <f>$O$86*$X$86</f>
        <v>462.36515999999995</v>
      </c>
      <c r="AE86" s="6">
        <f>$K$86*$Y$86</f>
        <v>0</v>
      </c>
      <c r="AF86" s="6">
        <f ca="1">$M$86*$Z$86</f>
        <v>2398.5114533129808</v>
      </c>
      <c r="AG86" s="6">
        <f>$O$86*$AA$86</f>
        <v>517.52165831286209</v>
      </c>
    </row>
    <row r="87" spans="1:33" ht="11.25" customHeight="1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24</v>
      </c>
      <c r="F87" s="4" t="s">
        <v>25</v>
      </c>
      <c r="G87" s="4" t="s">
        <v>25</v>
      </c>
      <c r="H87" s="4" t="s">
        <v>25</v>
      </c>
      <c r="I87" s="5">
        <v>44409</v>
      </c>
      <c r="J87" s="6">
        <v>0</v>
      </c>
      <c r="K87" s="6">
        <v>0</v>
      </c>
      <c r="L87" s="6">
        <v>698.40700000000004</v>
      </c>
      <c r="M87" s="6">
        <v>698.40700000000004</v>
      </c>
      <c r="N87" s="6">
        <v>698.40700000000004</v>
      </c>
      <c r="O87" s="6">
        <v>698.40700000000004</v>
      </c>
      <c r="P87" s="6">
        <v>4453</v>
      </c>
      <c r="Q87" s="4" t="s">
        <v>26</v>
      </c>
      <c r="R87" s="4">
        <v>0</v>
      </c>
      <c r="S87" s="6">
        <v>0</v>
      </c>
      <c r="T87" s="6">
        <v>48</v>
      </c>
      <c r="U87" s="6">
        <v>31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823.74</v>
      </c>
      <c r="X87" s="6">
        <f>IF(ISERROR(VLOOKUP($U$87,'TAR FIN'!$A$1:$O$85,15,0)),0,VLOOKUP($U$87,'TAR FIN'!$A$1:$O$85,15,0))</f>
        <v>201.73</v>
      </c>
      <c r="Y87" s="6"/>
      <c r="Z87" s="6">
        <f ca="1">('TUSD BE'!$AM$20+'TUSD BF'!$AM$20+'TUSD CVA'!$AM$20)*1</f>
        <v>1046.4709656688399</v>
      </c>
      <c r="AA87" s="6">
        <f>('TE BE'!$AA$10+'TE BF'!$AA$10+'TE CVA'!$AA$10)*1</f>
        <v>225.7947898398177</v>
      </c>
      <c r="AB87" s="6">
        <f>$K$87*$V$87</f>
        <v>0</v>
      </c>
      <c r="AC87" s="6">
        <f>$M$87*$W$87</f>
        <v>575305.7821800001</v>
      </c>
      <c r="AD87" s="6">
        <f>$O$87*$X$87</f>
        <v>140889.64410999999</v>
      </c>
      <c r="AE87" s="6">
        <f>$K$87*$Y$87</f>
        <v>0</v>
      </c>
      <c r="AF87" s="6">
        <f ca="1">$M$87*$Z$87</f>
        <v>730862.64771987754</v>
      </c>
      <c r="AG87" s="6">
        <f>$O$87*$AA$87</f>
        <v>157696.66178765756</v>
      </c>
    </row>
    <row r="88" spans="1:33" ht="11.25" customHeight="1" x14ac:dyDescent="0.3">
      <c r="A88" s="4" t="s">
        <v>27</v>
      </c>
      <c r="B88" s="4" t="s">
        <v>22</v>
      </c>
      <c r="C88" s="4" t="s">
        <v>23</v>
      </c>
      <c r="D88" s="4" t="s">
        <v>24</v>
      </c>
      <c r="E88" s="4" t="s">
        <v>24</v>
      </c>
      <c r="F88" s="4" t="s">
        <v>25</v>
      </c>
      <c r="G88" s="4" t="s">
        <v>25</v>
      </c>
      <c r="H88" s="4" t="s">
        <v>25</v>
      </c>
      <c r="I88" s="5">
        <v>44409</v>
      </c>
      <c r="J88" s="6">
        <v>0</v>
      </c>
      <c r="K88" s="6">
        <v>0</v>
      </c>
      <c r="L88" s="6">
        <v>-0.57799999999999996</v>
      </c>
      <c r="M88" s="6">
        <v>-0.57799999999999996</v>
      </c>
      <c r="N88" s="6">
        <v>-0.57799999999999996</v>
      </c>
      <c r="O88" s="6">
        <v>-0.57799999999999996</v>
      </c>
      <c r="P88" s="6">
        <v>0</v>
      </c>
      <c r="Q88" s="4" t="s">
        <v>26</v>
      </c>
      <c r="R88" s="4">
        <v>0</v>
      </c>
      <c r="S88" s="6">
        <v>0</v>
      </c>
      <c r="T88" s="6">
        <v>48</v>
      </c>
      <c r="U88" s="6">
        <v>31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823.74</v>
      </c>
      <c r="X88" s="6">
        <f>IF(ISERROR(VLOOKUP($U$88,'TAR FIN'!$A$1:$O$85,15,0)),0,VLOOKUP($U$88,'TAR FIN'!$A$1:$O$85,15,0))</f>
        <v>201.73</v>
      </c>
      <c r="Y88" s="6"/>
      <c r="Z88" s="6">
        <f ca="1">('TUSD BE'!$AM$20+'TUSD BF'!$AM$20+'TUSD CVA'!$AM$20)*1</f>
        <v>1046.4709656688399</v>
      </c>
      <c r="AA88" s="6">
        <f>('TE BE'!$AA$10+'TE BF'!$AA$10+'TE CVA'!$AA$10)*1</f>
        <v>225.7947898398177</v>
      </c>
      <c r="AB88" s="6">
        <f>$K$88*$V$88</f>
        <v>0</v>
      </c>
      <c r="AC88" s="6">
        <f>$M$88*$W$88</f>
        <v>-476.12171999999998</v>
      </c>
      <c r="AD88" s="6">
        <f>$O$88*$X$88</f>
        <v>-116.59993999999999</v>
      </c>
      <c r="AE88" s="6">
        <f>$K$88*$Y$88</f>
        <v>0</v>
      </c>
      <c r="AF88" s="6">
        <f ca="1">$M$88*$Z$88</f>
        <v>-604.86021815658944</v>
      </c>
      <c r="AG88" s="6">
        <f>$O$88*$AA$88</f>
        <v>-130.50938852741461</v>
      </c>
    </row>
    <row r="89" spans="1:33" ht="11.25" customHeight="1" x14ac:dyDescent="0.3">
      <c r="A89" s="4" t="s">
        <v>28</v>
      </c>
      <c r="B89" s="4" t="s">
        <v>22</v>
      </c>
      <c r="C89" s="4" t="s">
        <v>23</v>
      </c>
      <c r="D89" s="4" t="s">
        <v>24</v>
      </c>
      <c r="E89" s="4" t="s">
        <v>24</v>
      </c>
      <c r="F89" s="4" t="s">
        <v>25</v>
      </c>
      <c r="G89" s="4" t="s">
        <v>25</v>
      </c>
      <c r="H89" s="4" t="s">
        <v>25</v>
      </c>
      <c r="I89" s="5">
        <v>44409</v>
      </c>
      <c r="J89" s="6">
        <v>0</v>
      </c>
      <c r="K89" s="6">
        <v>0</v>
      </c>
      <c r="L89" s="6">
        <v>2.4849999999999999</v>
      </c>
      <c r="M89" s="6">
        <v>2.4849999999999999</v>
      </c>
      <c r="N89" s="6">
        <v>2.4849999999999999</v>
      </c>
      <c r="O89" s="6">
        <v>2.4849999999999999</v>
      </c>
      <c r="P89" s="6">
        <v>14</v>
      </c>
      <c r="Q89" s="4" t="s">
        <v>26</v>
      </c>
      <c r="R89" s="4">
        <v>0</v>
      </c>
      <c r="S89" s="6">
        <v>0</v>
      </c>
      <c r="T89" s="6">
        <v>48</v>
      </c>
      <c r="U89" s="6">
        <v>31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823.74</v>
      </c>
      <c r="X89" s="6">
        <f>IF(ISERROR(VLOOKUP($U$89,'TAR FIN'!$A$1:$O$85,15,0)),0,VLOOKUP($U$89,'TAR FIN'!$A$1:$O$85,15,0))</f>
        <v>201.73</v>
      </c>
      <c r="Y89" s="6"/>
      <c r="Z89" s="6">
        <f ca="1">('TUSD BE'!$AM$20+'TUSD BF'!$AM$20+'TUSD CVA'!$AM$20)*1</f>
        <v>1046.4709656688399</v>
      </c>
      <c r="AA89" s="6">
        <f>('TE BE'!$AA$10+'TE BF'!$AA$10+'TE CVA'!$AA$10)*1</f>
        <v>225.7947898398177</v>
      </c>
      <c r="AB89" s="6">
        <f>$K$89*$V$89</f>
        <v>0</v>
      </c>
      <c r="AC89" s="6">
        <f>$M$89*$W$89</f>
        <v>2046.9938999999999</v>
      </c>
      <c r="AD89" s="6">
        <f>$O$89*$X$89</f>
        <v>501.29904999999997</v>
      </c>
      <c r="AE89" s="6">
        <f>$K$89*$Y$89</f>
        <v>0</v>
      </c>
      <c r="AF89" s="6">
        <f ca="1">$M$89*$Z$89</f>
        <v>2600.4803496870668</v>
      </c>
      <c r="AG89" s="6">
        <f>$O$89*$AA$89</f>
        <v>561.10005275194692</v>
      </c>
    </row>
    <row r="90" spans="1:33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24</v>
      </c>
      <c r="F90" s="4" t="s">
        <v>25</v>
      </c>
      <c r="G90" s="4" t="s">
        <v>25</v>
      </c>
      <c r="H90" s="4" t="s">
        <v>25</v>
      </c>
      <c r="I90" s="5">
        <v>44440</v>
      </c>
      <c r="J90" s="6">
        <v>0</v>
      </c>
      <c r="K90" s="6">
        <v>0</v>
      </c>
      <c r="L90" s="6">
        <v>712.08500000000004</v>
      </c>
      <c r="M90" s="6">
        <v>712.08500000000004</v>
      </c>
      <c r="N90" s="6">
        <v>712.08500000000004</v>
      </c>
      <c r="O90" s="6">
        <v>712.08500000000004</v>
      </c>
      <c r="P90" s="6">
        <v>4496</v>
      </c>
      <c r="Q90" s="4" t="s">
        <v>26</v>
      </c>
      <c r="R90" s="4">
        <v>0</v>
      </c>
      <c r="S90" s="6">
        <v>0</v>
      </c>
      <c r="T90" s="6">
        <v>48</v>
      </c>
      <c r="U90" s="6">
        <v>31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823.74</v>
      </c>
      <c r="X90" s="6">
        <f>IF(ISERROR(VLOOKUP($U$90,'TAR FIN'!$A$1:$O$85,15,0)),0,VLOOKUP($U$90,'TAR FIN'!$A$1:$O$85,15,0))</f>
        <v>201.73</v>
      </c>
      <c r="Y90" s="6"/>
      <c r="Z90" s="6">
        <f ca="1">('TUSD BE'!$AM$20+'TUSD BF'!$AM$20+'TUSD CVA'!$AM$20)*1</f>
        <v>1046.4709656688399</v>
      </c>
      <c r="AA90" s="6">
        <f>('TE BE'!$AA$10+'TE BF'!$AA$10+'TE CVA'!$AA$10)*1</f>
        <v>225.7947898398177</v>
      </c>
      <c r="AB90" s="6">
        <f>$K$90*$V$90</f>
        <v>0</v>
      </c>
      <c r="AC90" s="6">
        <f>$M$90*$W$90</f>
        <v>586572.89789999998</v>
      </c>
      <c r="AD90" s="6">
        <f>$O$90*$X$90</f>
        <v>143648.90705000001</v>
      </c>
      <c r="AE90" s="6">
        <f>$K$90*$Y$90</f>
        <v>0</v>
      </c>
      <c r="AF90" s="6">
        <f ca="1">$M$90*$Z$90</f>
        <v>745176.27758829587</v>
      </c>
      <c r="AG90" s="6">
        <f>$O$90*$AA$90</f>
        <v>160785.08292308659</v>
      </c>
    </row>
    <row r="91" spans="1:33" ht="11.25" customHeight="1" x14ac:dyDescent="0.3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24</v>
      </c>
      <c r="F91" s="4" t="s">
        <v>25</v>
      </c>
      <c r="G91" s="4" t="s">
        <v>25</v>
      </c>
      <c r="H91" s="4" t="s">
        <v>25</v>
      </c>
      <c r="I91" s="5">
        <v>44440</v>
      </c>
      <c r="J91" s="6">
        <v>0</v>
      </c>
      <c r="K91" s="6">
        <v>0</v>
      </c>
      <c r="L91" s="6">
        <v>-0.14000000000000001</v>
      </c>
      <c r="M91" s="6">
        <v>-0.14000000000000001</v>
      </c>
      <c r="N91" s="6">
        <v>-0.14000000000000001</v>
      </c>
      <c r="O91" s="6">
        <v>-0.14000000000000001</v>
      </c>
      <c r="P91" s="6">
        <v>0</v>
      </c>
      <c r="Q91" s="4" t="s">
        <v>26</v>
      </c>
      <c r="R91" s="4">
        <v>0</v>
      </c>
      <c r="S91" s="6">
        <v>0</v>
      </c>
      <c r="T91" s="6">
        <v>48</v>
      </c>
      <c r="U91" s="6">
        <v>31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823.74</v>
      </c>
      <c r="X91" s="6">
        <f>IF(ISERROR(VLOOKUP($U$91,'TAR FIN'!$A$1:$O$85,15,0)),0,VLOOKUP($U$91,'TAR FIN'!$A$1:$O$85,15,0))</f>
        <v>201.73</v>
      </c>
      <c r="Y91" s="6"/>
      <c r="Z91" s="6">
        <f ca="1">('TUSD BE'!$AM$20+'TUSD BF'!$AM$20+'TUSD CVA'!$AM$20)*1</f>
        <v>1046.4709656688399</v>
      </c>
      <c r="AA91" s="6">
        <f>('TE BE'!$AA$10+'TE BF'!$AA$10+'TE CVA'!$AA$10)*1</f>
        <v>225.7947898398177</v>
      </c>
      <c r="AB91" s="6">
        <f>$K$91*$V$91</f>
        <v>0</v>
      </c>
      <c r="AC91" s="6">
        <f>$M$91*$W$91</f>
        <v>-115.32360000000001</v>
      </c>
      <c r="AD91" s="6">
        <f>$O$91*$X$91</f>
        <v>-28.2422</v>
      </c>
      <c r="AE91" s="6">
        <f>$K$91*$Y$91</f>
        <v>0</v>
      </c>
      <c r="AF91" s="6">
        <f ca="1">$M$91*$Z$91</f>
        <v>-146.50593519363758</v>
      </c>
      <c r="AG91" s="6">
        <f>$O$91*$AA$91</f>
        <v>-31.61127057757448</v>
      </c>
    </row>
    <row r="92" spans="1:33" ht="11.25" customHeight="1" x14ac:dyDescent="0.3">
      <c r="A92" s="4" t="s">
        <v>28</v>
      </c>
      <c r="B92" s="4" t="s">
        <v>22</v>
      </c>
      <c r="C92" s="4" t="s">
        <v>23</v>
      </c>
      <c r="D92" s="4" t="s">
        <v>24</v>
      </c>
      <c r="E92" s="4" t="s">
        <v>24</v>
      </c>
      <c r="F92" s="4" t="s">
        <v>25</v>
      </c>
      <c r="G92" s="4" t="s">
        <v>25</v>
      </c>
      <c r="H92" s="4" t="s">
        <v>25</v>
      </c>
      <c r="I92" s="5">
        <v>44440</v>
      </c>
      <c r="J92" s="6">
        <v>0</v>
      </c>
      <c r="K92" s="6">
        <v>0</v>
      </c>
      <c r="L92" s="6">
        <v>3.589</v>
      </c>
      <c r="M92" s="6">
        <v>3.589</v>
      </c>
      <c r="N92" s="6">
        <v>3.589</v>
      </c>
      <c r="O92" s="6">
        <v>3.589</v>
      </c>
      <c r="P92" s="6">
        <v>16</v>
      </c>
      <c r="Q92" s="4" t="s">
        <v>26</v>
      </c>
      <c r="R92" s="4">
        <v>0</v>
      </c>
      <c r="S92" s="6">
        <v>0</v>
      </c>
      <c r="T92" s="6">
        <v>48</v>
      </c>
      <c r="U92" s="6">
        <v>31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823.74</v>
      </c>
      <c r="X92" s="6">
        <f>IF(ISERROR(VLOOKUP($U$92,'TAR FIN'!$A$1:$O$85,15,0)),0,VLOOKUP($U$92,'TAR FIN'!$A$1:$O$85,15,0))</f>
        <v>201.73</v>
      </c>
      <c r="Y92" s="6"/>
      <c r="Z92" s="6">
        <f ca="1">('TUSD BE'!$AM$20+'TUSD BF'!$AM$20+'TUSD CVA'!$AM$20)*1</f>
        <v>1046.4709656688399</v>
      </c>
      <c r="AA92" s="6">
        <f>('TE BE'!$AA$10+'TE BF'!$AA$10+'TE CVA'!$AA$10)*1</f>
        <v>225.7947898398177</v>
      </c>
      <c r="AB92" s="6">
        <f>$K$92*$V$92</f>
        <v>0</v>
      </c>
      <c r="AC92" s="6">
        <f>$M$92*$W$92</f>
        <v>2956.4028600000001</v>
      </c>
      <c r="AD92" s="6">
        <f>$O$92*$X$92</f>
        <v>724.00896999999998</v>
      </c>
      <c r="AE92" s="6">
        <f>$K$92*$Y$92</f>
        <v>0</v>
      </c>
      <c r="AF92" s="6">
        <f ca="1">$M$92*$Z$92</f>
        <v>3755.7842957854664</v>
      </c>
      <c r="AG92" s="6">
        <f>$O$92*$AA$92</f>
        <v>810.37750073510574</v>
      </c>
    </row>
    <row r="93" spans="1:33" ht="11.25" customHeight="1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24</v>
      </c>
      <c r="F93" s="4" t="s">
        <v>25</v>
      </c>
      <c r="G93" s="4" t="s">
        <v>25</v>
      </c>
      <c r="H93" s="4" t="s">
        <v>25</v>
      </c>
      <c r="I93" s="5">
        <v>44470</v>
      </c>
      <c r="J93" s="6">
        <v>0</v>
      </c>
      <c r="K93" s="6">
        <v>0</v>
      </c>
      <c r="L93" s="6">
        <v>708.62400000000002</v>
      </c>
      <c r="M93" s="6">
        <v>708.62400000000002</v>
      </c>
      <c r="N93" s="6">
        <v>708.62400000000002</v>
      </c>
      <c r="O93" s="6">
        <v>708.62400000000002</v>
      </c>
      <c r="P93" s="6">
        <v>4512</v>
      </c>
      <c r="Q93" s="4" t="s">
        <v>26</v>
      </c>
      <c r="R93" s="4">
        <v>0</v>
      </c>
      <c r="S93" s="6">
        <v>0</v>
      </c>
      <c r="T93" s="6">
        <v>48</v>
      </c>
      <c r="U93" s="6">
        <v>31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823.74</v>
      </c>
      <c r="X93" s="6">
        <f>IF(ISERROR(VLOOKUP($U$93,'TAR FIN'!$A$1:$O$85,15,0)),0,VLOOKUP($U$93,'TAR FIN'!$A$1:$O$85,15,0))</f>
        <v>201.73</v>
      </c>
      <c r="Y93" s="6"/>
      <c r="Z93" s="6">
        <f ca="1">('TUSD BE'!$AM$20+'TUSD BF'!$AM$20+'TUSD CVA'!$AM$20)*1</f>
        <v>1046.4709656688399</v>
      </c>
      <c r="AA93" s="6">
        <f>('TE BE'!$AA$10+'TE BF'!$AA$10+'TE CVA'!$AA$10)*1</f>
        <v>225.7947898398177</v>
      </c>
      <c r="AB93" s="6">
        <f>$K$93*$V$93</f>
        <v>0</v>
      </c>
      <c r="AC93" s="6">
        <f>$M$93*$W$93</f>
        <v>583721.93376000004</v>
      </c>
      <c r="AD93" s="6">
        <f>$O$93*$X$93</f>
        <v>142950.71951999998</v>
      </c>
      <c r="AE93" s="6">
        <f>$K$93*$Y$93</f>
        <v>0</v>
      </c>
      <c r="AF93" s="6">
        <f ca="1">$M$93*$Z$93</f>
        <v>741554.44157611602</v>
      </c>
      <c r="AG93" s="6">
        <f>$O$93*$AA$93</f>
        <v>160003.60715545097</v>
      </c>
    </row>
    <row r="94" spans="1:33" ht="11.25" customHeight="1" x14ac:dyDescent="0.3">
      <c r="A94" s="4" t="s">
        <v>27</v>
      </c>
      <c r="B94" s="4" t="s">
        <v>22</v>
      </c>
      <c r="C94" s="4" t="s">
        <v>23</v>
      </c>
      <c r="D94" s="4" t="s">
        <v>24</v>
      </c>
      <c r="E94" s="4" t="s">
        <v>24</v>
      </c>
      <c r="F94" s="4" t="s">
        <v>25</v>
      </c>
      <c r="G94" s="4" t="s">
        <v>25</v>
      </c>
      <c r="H94" s="4" t="s">
        <v>25</v>
      </c>
      <c r="I94" s="5">
        <v>44470</v>
      </c>
      <c r="J94" s="6">
        <v>0</v>
      </c>
      <c r="K94" s="6">
        <v>0</v>
      </c>
      <c r="L94" s="6">
        <v>-0.31</v>
      </c>
      <c r="M94" s="6">
        <v>-0.31</v>
      </c>
      <c r="N94" s="6">
        <v>-0.31</v>
      </c>
      <c r="O94" s="6">
        <v>-0.31</v>
      </c>
      <c r="P94" s="6">
        <v>0</v>
      </c>
      <c r="Q94" s="4" t="s">
        <v>26</v>
      </c>
      <c r="R94" s="4">
        <v>0</v>
      </c>
      <c r="S94" s="6">
        <v>0</v>
      </c>
      <c r="T94" s="6">
        <v>48</v>
      </c>
      <c r="U94" s="6">
        <v>31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823.74</v>
      </c>
      <c r="X94" s="6">
        <f>IF(ISERROR(VLOOKUP($U$94,'TAR FIN'!$A$1:$O$85,15,0)),0,VLOOKUP($U$94,'TAR FIN'!$A$1:$O$85,15,0))</f>
        <v>201.73</v>
      </c>
      <c r="Y94" s="6"/>
      <c r="Z94" s="6">
        <f ca="1">('TUSD BE'!$AM$20+'TUSD BF'!$AM$20+'TUSD CVA'!$AM$20)*1</f>
        <v>1046.4709656688399</v>
      </c>
      <c r="AA94" s="6">
        <f>('TE BE'!$AA$10+'TE BF'!$AA$10+'TE CVA'!$AA$10)*1</f>
        <v>225.7947898398177</v>
      </c>
      <c r="AB94" s="6">
        <f>$K$94*$V$94</f>
        <v>0</v>
      </c>
      <c r="AC94" s="6">
        <f>$M$94*$W$94</f>
        <v>-255.35939999999999</v>
      </c>
      <c r="AD94" s="6">
        <f>$O$94*$X$94</f>
        <v>-62.536299999999997</v>
      </c>
      <c r="AE94" s="6">
        <f>$K$94*$Y$94</f>
        <v>0</v>
      </c>
      <c r="AF94" s="6">
        <f ca="1">$M$94*$Z$94</f>
        <v>-324.40599935734036</v>
      </c>
      <c r="AG94" s="6">
        <f>$O$94*$AA$94</f>
        <v>-69.996384850343489</v>
      </c>
    </row>
    <row r="95" spans="1:33" ht="11.25" customHeight="1" x14ac:dyDescent="0.3">
      <c r="A95" s="4" t="s">
        <v>28</v>
      </c>
      <c r="B95" s="4" t="s">
        <v>22</v>
      </c>
      <c r="C95" s="4" t="s">
        <v>23</v>
      </c>
      <c r="D95" s="4" t="s">
        <v>24</v>
      </c>
      <c r="E95" s="4" t="s">
        <v>24</v>
      </c>
      <c r="F95" s="4" t="s">
        <v>25</v>
      </c>
      <c r="G95" s="4" t="s">
        <v>25</v>
      </c>
      <c r="H95" s="4" t="s">
        <v>25</v>
      </c>
      <c r="I95" s="5">
        <v>44470</v>
      </c>
      <c r="J95" s="6">
        <v>0</v>
      </c>
      <c r="K95" s="6">
        <v>0</v>
      </c>
      <c r="L95" s="6">
        <v>5.0190000000000001</v>
      </c>
      <c r="M95" s="6">
        <v>5.0190000000000001</v>
      </c>
      <c r="N95" s="6">
        <v>5.0190000000000001</v>
      </c>
      <c r="O95" s="6">
        <v>5.0190000000000001</v>
      </c>
      <c r="P95" s="6">
        <v>19</v>
      </c>
      <c r="Q95" s="4" t="s">
        <v>26</v>
      </c>
      <c r="R95" s="4">
        <v>0</v>
      </c>
      <c r="S95" s="6">
        <v>0</v>
      </c>
      <c r="T95" s="6">
        <v>48</v>
      </c>
      <c r="U95" s="6">
        <v>31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823.74</v>
      </c>
      <c r="X95" s="6">
        <f>IF(ISERROR(VLOOKUP($U$95,'TAR FIN'!$A$1:$O$85,15,0)),0,VLOOKUP($U$95,'TAR FIN'!$A$1:$O$85,15,0))</f>
        <v>201.73</v>
      </c>
      <c r="Y95" s="6"/>
      <c r="Z95" s="6">
        <f ca="1">('TUSD BE'!$AM$20+'TUSD BF'!$AM$20+'TUSD CVA'!$AM$20)*1</f>
        <v>1046.4709656688399</v>
      </c>
      <c r="AA95" s="6">
        <f>('TE BE'!$AA$10+'TE BF'!$AA$10+'TE CVA'!$AA$10)*1</f>
        <v>225.7947898398177</v>
      </c>
      <c r="AB95" s="6">
        <f>$K$95*$V$95</f>
        <v>0</v>
      </c>
      <c r="AC95" s="6">
        <f>$M$95*$W$95</f>
        <v>4134.35106</v>
      </c>
      <c r="AD95" s="6">
        <f>$O$95*$X$95</f>
        <v>1012.4828699999999</v>
      </c>
      <c r="AE95" s="6">
        <f>$K$95*$Y$95</f>
        <v>0</v>
      </c>
      <c r="AF95" s="6">
        <f ca="1">$M$95*$Z$95</f>
        <v>5252.2377766919071</v>
      </c>
      <c r="AG95" s="6">
        <f>$O$95*$AA$95</f>
        <v>1133.2640502060451</v>
      </c>
    </row>
    <row r="96" spans="1:33" ht="11.25" customHeight="1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24</v>
      </c>
      <c r="F96" s="4" t="s">
        <v>25</v>
      </c>
      <c r="G96" s="4" t="s">
        <v>25</v>
      </c>
      <c r="H96" s="4" t="s">
        <v>25</v>
      </c>
      <c r="I96" s="5">
        <v>44501</v>
      </c>
      <c r="J96" s="6">
        <v>0</v>
      </c>
      <c r="K96" s="6">
        <v>0</v>
      </c>
      <c r="L96" s="6">
        <v>708.08600000000001</v>
      </c>
      <c r="M96" s="6">
        <v>708.08600000000001</v>
      </c>
      <c r="N96" s="6">
        <v>708.08600000000001</v>
      </c>
      <c r="O96" s="6">
        <v>708.08600000000001</v>
      </c>
      <c r="P96" s="6">
        <v>4526</v>
      </c>
      <c r="Q96" s="4" t="s">
        <v>26</v>
      </c>
      <c r="R96" s="4">
        <v>0</v>
      </c>
      <c r="S96" s="6">
        <v>0</v>
      </c>
      <c r="T96" s="6">
        <v>48</v>
      </c>
      <c r="U96" s="6">
        <v>31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823.74</v>
      </c>
      <c r="X96" s="6">
        <f>IF(ISERROR(VLOOKUP($U$96,'TAR FIN'!$A$1:$O$85,15,0)),0,VLOOKUP($U$96,'TAR FIN'!$A$1:$O$85,15,0))</f>
        <v>201.73</v>
      </c>
      <c r="Y96" s="6"/>
      <c r="Z96" s="6">
        <f ca="1">('TUSD BE'!$AM$20+'TUSD BF'!$AM$20+'TUSD CVA'!$AM$20)*1</f>
        <v>1046.4709656688399</v>
      </c>
      <c r="AA96" s="6">
        <f>('TE BE'!$AA$10+'TE BF'!$AA$10+'TE CVA'!$AA$10)*1</f>
        <v>225.7947898398177</v>
      </c>
      <c r="AB96" s="6">
        <f>$K$96*$V$96</f>
        <v>0</v>
      </c>
      <c r="AC96" s="6">
        <f>$M$96*$W$96</f>
        <v>583278.76164000004</v>
      </c>
      <c r="AD96" s="6">
        <f>$O$96*$X$96</f>
        <v>142842.18878</v>
      </c>
      <c r="AE96" s="6">
        <f>$K$96*$Y$96</f>
        <v>0</v>
      </c>
      <c r="AF96" s="6">
        <f ca="1">$M$96*$Z$96</f>
        <v>740991.44019658619</v>
      </c>
      <c r="AG96" s="6">
        <f>$O$96*$AA$96</f>
        <v>159882.12955851716</v>
      </c>
    </row>
    <row r="97" spans="1:33" ht="11.25" customHeight="1" x14ac:dyDescent="0.3">
      <c r="A97" s="4" t="s">
        <v>27</v>
      </c>
      <c r="B97" s="4" t="s">
        <v>22</v>
      </c>
      <c r="C97" s="4" t="s">
        <v>23</v>
      </c>
      <c r="D97" s="4" t="s">
        <v>24</v>
      </c>
      <c r="E97" s="4" t="s">
        <v>24</v>
      </c>
      <c r="F97" s="4" t="s">
        <v>25</v>
      </c>
      <c r="G97" s="4" t="s">
        <v>25</v>
      </c>
      <c r="H97" s="4" t="s">
        <v>25</v>
      </c>
      <c r="I97" s="5">
        <v>44501</v>
      </c>
      <c r="J97" s="6">
        <v>0</v>
      </c>
      <c r="K97" s="6">
        <v>0</v>
      </c>
      <c r="L97" s="6">
        <v>-2.403</v>
      </c>
      <c r="M97" s="6">
        <v>-2.403</v>
      </c>
      <c r="N97" s="6">
        <v>-2.403</v>
      </c>
      <c r="O97" s="6">
        <v>-2.403</v>
      </c>
      <c r="P97" s="6">
        <v>0</v>
      </c>
      <c r="Q97" s="4" t="s">
        <v>26</v>
      </c>
      <c r="R97" s="4">
        <v>0</v>
      </c>
      <c r="S97" s="6">
        <v>0</v>
      </c>
      <c r="T97" s="6">
        <v>48</v>
      </c>
      <c r="U97" s="6">
        <v>31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823.74</v>
      </c>
      <c r="X97" s="6">
        <f>IF(ISERROR(VLOOKUP($U$97,'TAR FIN'!$A$1:$O$85,15,0)),0,VLOOKUP($U$97,'TAR FIN'!$A$1:$O$85,15,0))</f>
        <v>201.73</v>
      </c>
      <c r="Y97" s="6"/>
      <c r="Z97" s="6">
        <f ca="1">('TUSD BE'!$AM$20+'TUSD BF'!$AM$20+'TUSD CVA'!$AM$20)*1</f>
        <v>1046.4709656688399</v>
      </c>
      <c r="AA97" s="6">
        <f>('TE BE'!$AA$10+'TE BF'!$AA$10+'TE CVA'!$AA$10)*1</f>
        <v>225.7947898398177</v>
      </c>
      <c r="AB97" s="6">
        <f>$K$97*$V$97</f>
        <v>0</v>
      </c>
      <c r="AC97" s="6">
        <f>$M$97*$W$97</f>
        <v>-1979.44722</v>
      </c>
      <c r="AD97" s="6">
        <f>$O$97*$X$97</f>
        <v>-484.75718999999998</v>
      </c>
      <c r="AE97" s="6">
        <f>$K$97*$Y$97</f>
        <v>0</v>
      </c>
      <c r="AF97" s="6">
        <f ca="1">$M$97*$Z$97</f>
        <v>-2514.6697305022221</v>
      </c>
      <c r="AG97" s="6">
        <f>$O$97*$AA$97</f>
        <v>-542.5848799850819</v>
      </c>
    </row>
    <row r="98" spans="1:33" ht="11.25" customHeight="1" x14ac:dyDescent="0.3">
      <c r="A98" s="4" t="s">
        <v>28</v>
      </c>
      <c r="B98" s="4" t="s">
        <v>22</v>
      </c>
      <c r="C98" s="4" t="s">
        <v>23</v>
      </c>
      <c r="D98" s="4" t="s">
        <v>24</v>
      </c>
      <c r="E98" s="4" t="s">
        <v>24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0</v>
      </c>
      <c r="K98" s="6">
        <v>0</v>
      </c>
      <c r="L98" s="6">
        <v>3.8450000000000002</v>
      </c>
      <c r="M98" s="6">
        <v>3.8450000000000002</v>
      </c>
      <c r="N98" s="6">
        <v>3.8450000000000002</v>
      </c>
      <c r="O98" s="6">
        <v>3.8450000000000002</v>
      </c>
      <c r="P98" s="6">
        <v>20</v>
      </c>
      <c r="Q98" s="4" t="s">
        <v>26</v>
      </c>
      <c r="R98" s="4">
        <v>0</v>
      </c>
      <c r="S98" s="6">
        <v>0</v>
      </c>
      <c r="T98" s="6">
        <v>48</v>
      </c>
      <c r="U98" s="6">
        <v>31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823.74</v>
      </c>
      <c r="X98" s="6">
        <f>IF(ISERROR(VLOOKUP($U$98,'TAR FIN'!$A$1:$O$85,15,0)),0,VLOOKUP($U$98,'TAR FIN'!$A$1:$O$85,15,0))</f>
        <v>201.73</v>
      </c>
      <c r="Y98" s="6"/>
      <c r="Z98" s="6">
        <f ca="1">('TUSD BE'!$AM$20+'TUSD BF'!$AM$20+'TUSD CVA'!$AM$20)*1</f>
        <v>1046.4709656688399</v>
      </c>
      <c r="AA98" s="6">
        <f>('TE BE'!$AA$10+'TE BF'!$AA$10+'TE CVA'!$AA$10)*1</f>
        <v>225.7947898398177</v>
      </c>
      <c r="AB98" s="6">
        <f>$K$98*$V$98</f>
        <v>0</v>
      </c>
      <c r="AC98" s="6">
        <f>$M$98*$W$98</f>
        <v>3167.2803000000004</v>
      </c>
      <c r="AD98" s="6">
        <f>$O$98*$X$98</f>
        <v>775.65184999999997</v>
      </c>
      <c r="AE98" s="6">
        <f>$K$98*$Y$98</f>
        <v>0</v>
      </c>
      <c r="AF98" s="6">
        <f ca="1">$M$98*$Z$98</f>
        <v>4023.6808629966895</v>
      </c>
      <c r="AG98" s="6">
        <f>$O$98*$AA$98</f>
        <v>868.18096693409905</v>
      </c>
    </row>
    <row r="99" spans="1:33" ht="11.25" customHeight="1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24</v>
      </c>
      <c r="F99" s="4" t="s">
        <v>25</v>
      </c>
      <c r="G99" s="4" t="s">
        <v>25</v>
      </c>
      <c r="H99" s="4" t="s">
        <v>25</v>
      </c>
      <c r="I99" s="5">
        <v>44531</v>
      </c>
      <c r="J99" s="6">
        <v>0</v>
      </c>
      <c r="K99" s="6">
        <v>0</v>
      </c>
      <c r="L99" s="6">
        <v>721.98400000000004</v>
      </c>
      <c r="M99" s="6">
        <v>721.98400000000004</v>
      </c>
      <c r="N99" s="6">
        <v>721.98400000000004</v>
      </c>
      <c r="O99" s="6">
        <v>721.98400000000004</v>
      </c>
      <c r="P99" s="6">
        <v>4533</v>
      </c>
      <c r="Q99" s="4" t="s">
        <v>26</v>
      </c>
      <c r="R99" s="4">
        <v>0</v>
      </c>
      <c r="S99" s="6">
        <v>0</v>
      </c>
      <c r="T99" s="6">
        <v>48</v>
      </c>
      <c r="U99" s="6">
        <v>31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823.74</v>
      </c>
      <c r="X99" s="6">
        <f>IF(ISERROR(VLOOKUP($U$99,'TAR FIN'!$A$1:$O$85,15,0)),0,VLOOKUP($U$99,'TAR FIN'!$A$1:$O$85,15,0))</f>
        <v>201.73</v>
      </c>
      <c r="Y99" s="6"/>
      <c r="Z99" s="6">
        <f ca="1">('TUSD BE'!$AM$20+'TUSD BF'!$AM$20+'TUSD CVA'!$AM$20)*1</f>
        <v>1046.4709656688399</v>
      </c>
      <c r="AA99" s="6">
        <f>('TE BE'!$AA$10+'TE BF'!$AA$10+'TE CVA'!$AA$10)*1</f>
        <v>225.7947898398177</v>
      </c>
      <c r="AB99" s="6">
        <f>$K$99*$V$99</f>
        <v>0</v>
      </c>
      <c r="AC99" s="6">
        <f>$M$99*$W$99</f>
        <v>594727.10016000003</v>
      </c>
      <c r="AD99" s="6">
        <f>$O$99*$X$99</f>
        <v>145645.83231999999</v>
      </c>
      <c r="AE99" s="6">
        <f>$K$99*$Y$99</f>
        <v>0</v>
      </c>
      <c r="AF99" s="6">
        <f ca="1">$M$99*$Z$99</f>
        <v>755535.29367745179</v>
      </c>
      <c r="AG99" s="6">
        <f>$O$99*$AA$99</f>
        <v>163020.22554771096</v>
      </c>
    </row>
    <row r="100" spans="1:33" ht="11.25" customHeight="1" x14ac:dyDescent="0.3">
      <c r="A100" s="4" t="s">
        <v>27</v>
      </c>
      <c r="B100" s="4" t="s">
        <v>22</v>
      </c>
      <c r="C100" s="4" t="s">
        <v>23</v>
      </c>
      <c r="D100" s="4" t="s">
        <v>24</v>
      </c>
      <c r="E100" s="4" t="s">
        <v>24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0</v>
      </c>
      <c r="K100" s="6">
        <v>0</v>
      </c>
      <c r="L100" s="6">
        <v>-0.68899999999999995</v>
      </c>
      <c r="M100" s="6">
        <v>-0.68899999999999995</v>
      </c>
      <c r="N100" s="6">
        <v>-0.68899999999999995</v>
      </c>
      <c r="O100" s="6">
        <v>-0.68899999999999995</v>
      </c>
      <c r="P100" s="6">
        <v>0</v>
      </c>
      <c r="Q100" s="4" t="s">
        <v>26</v>
      </c>
      <c r="R100" s="4">
        <v>0</v>
      </c>
      <c r="S100" s="6">
        <v>0</v>
      </c>
      <c r="T100" s="6">
        <v>48</v>
      </c>
      <c r="U100" s="6">
        <v>31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823.74</v>
      </c>
      <c r="X100" s="6">
        <f>IF(ISERROR(VLOOKUP($U$100,'TAR FIN'!$A$1:$O$85,15,0)),0,VLOOKUP($U$100,'TAR FIN'!$A$1:$O$85,15,0))</f>
        <v>201.73</v>
      </c>
      <c r="Y100" s="6"/>
      <c r="Z100" s="6">
        <f ca="1">('TUSD BE'!$AM$20+'TUSD BF'!$AM$20+'TUSD CVA'!$AM$20)*1</f>
        <v>1046.4709656688399</v>
      </c>
      <c r="AA100" s="6">
        <f>('TE BE'!$AA$10+'TE BF'!$AA$10+'TE CVA'!$AA$10)*1</f>
        <v>225.7947898398177</v>
      </c>
      <c r="AB100" s="6">
        <f>$K$100*$V$100</f>
        <v>0</v>
      </c>
      <c r="AC100" s="6">
        <f>$M$100*$W$100</f>
        <v>-567.55685999999992</v>
      </c>
      <c r="AD100" s="6">
        <f>$O$100*$X$100</f>
        <v>-138.99196999999998</v>
      </c>
      <c r="AE100" s="6">
        <f>$K$100*$Y$100</f>
        <v>0</v>
      </c>
      <c r="AF100" s="6">
        <f ca="1">$M$100*$Z$100</f>
        <v>-721.01849534583062</v>
      </c>
      <c r="AG100" s="6">
        <f>$O$100*$AA$100</f>
        <v>-155.57261019963437</v>
      </c>
    </row>
    <row r="101" spans="1:33" ht="11.25" customHeight="1" x14ac:dyDescent="0.3">
      <c r="A101" s="4" t="s">
        <v>28</v>
      </c>
      <c r="B101" s="4" t="s">
        <v>22</v>
      </c>
      <c r="C101" s="4" t="s">
        <v>23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0</v>
      </c>
      <c r="K101" s="6">
        <v>0</v>
      </c>
      <c r="L101" s="6">
        <v>4.524</v>
      </c>
      <c r="M101" s="6">
        <v>4.524</v>
      </c>
      <c r="N101" s="6">
        <v>4.524</v>
      </c>
      <c r="O101" s="6">
        <v>4.524</v>
      </c>
      <c r="P101" s="6">
        <v>22</v>
      </c>
      <c r="Q101" s="4" t="s">
        <v>26</v>
      </c>
      <c r="R101" s="4">
        <v>0</v>
      </c>
      <c r="S101" s="6">
        <v>0</v>
      </c>
      <c r="T101" s="6">
        <v>48</v>
      </c>
      <c r="U101" s="6">
        <v>31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823.74</v>
      </c>
      <c r="X101" s="6">
        <f>IF(ISERROR(VLOOKUP($U$101,'TAR FIN'!$A$1:$O$85,15,0)),0,VLOOKUP($U$101,'TAR FIN'!$A$1:$O$85,15,0))</f>
        <v>201.73</v>
      </c>
      <c r="Y101" s="6"/>
      <c r="Z101" s="6">
        <f ca="1">('TUSD BE'!$AM$20+'TUSD BF'!$AM$20+'TUSD CVA'!$AM$20)*1</f>
        <v>1046.4709656688399</v>
      </c>
      <c r="AA101" s="6">
        <f>('TE BE'!$AA$10+'TE BF'!$AA$10+'TE CVA'!$AA$10)*1</f>
        <v>225.7947898398177</v>
      </c>
      <c r="AB101" s="6">
        <f>$K$101*$V$101</f>
        <v>0</v>
      </c>
      <c r="AC101" s="6">
        <f>$M$101*$W$101</f>
        <v>3726.5997600000001</v>
      </c>
      <c r="AD101" s="6">
        <f>$O$101*$X$101</f>
        <v>912.62651999999991</v>
      </c>
      <c r="AE101" s="6">
        <f>$K$101*$Y$101</f>
        <v>0</v>
      </c>
      <c r="AF101" s="6">
        <f ca="1">$M$101*$Z$101</f>
        <v>4734.2346486858314</v>
      </c>
      <c r="AG101" s="6">
        <f>$O$101*$AA$101</f>
        <v>1021.4956292353353</v>
      </c>
    </row>
    <row r="102" spans="1:33" ht="11.25" customHeight="1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0</v>
      </c>
      <c r="K102" s="6">
        <v>0</v>
      </c>
      <c r="L102" s="6">
        <v>791.46400000000006</v>
      </c>
      <c r="M102" s="6">
        <v>791.46400000000006</v>
      </c>
      <c r="N102" s="6">
        <v>791.46400000000006</v>
      </c>
      <c r="O102" s="6">
        <v>791.46400000000006</v>
      </c>
      <c r="P102" s="6">
        <v>4544</v>
      </c>
      <c r="Q102" s="4" t="s">
        <v>26</v>
      </c>
      <c r="R102" s="4">
        <v>0</v>
      </c>
      <c r="S102" s="6">
        <v>0</v>
      </c>
      <c r="T102" s="6">
        <v>48</v>
      </c>
      <c r="U102" s="6">
        <v>31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823.74</v>
      </c>
      <c r="X102" s="6">
        <f>IF(ISERROR(VLOOKUP($U$102,'TAR FIN'!$A$1:$O$85,15,0)),0,VLOOKUP($U$102,'TAR FIN'!$A$1:$O$85,15,0))</f>
        <v>201.73</v>
      </c>
      <c r="Y102" s="6"/>
      <c r="Z102" s="6">
        <f ca="1">('TUSD BE'!$AM$20+'TUSD BF'!$AM$20+'TUSD CVA'!$AM$20)*1</f>
        <v>1046.4709656688399</v>
      </c>
      <c r="AA102" s="6">
        <f>('TE BE'!$AA$10+'TE BF'!$AA$10+'TE CVA'!$AA$10)*1</f>
        <v>225.7947898398177</v>
      </c>
      <c r="AB102" s="6">
        <f>$K$102*$V$102</f>
        <v>0</v>
      </c>
      <c r="AC102" s="6">
        <f>$M$102*$W$102</f>
        <v>651960.55536</v>
      </c>
      <c r="AD102" s="6">
        <f>$O$102*$X$102</f>
        <v>159662.03272000002</v>
      </c>
      <c r="AE102" s="6">
        <f>$K$102*$Y$102</f>
        <v>0</v>
      </c>
      <c r="AF102" s="6">
        <f ca="1">$M$102*$Z$102</f>
        <v>828244.09637212276</v>
      </c>
      <c r="AG102" s="6">
        <f>$O$102*$AA$102</f>
        <v>178708.4475457815</v>
      </c>
    </row>
    <row r="103" spans="1:33" ht="11.25" customHeight="1" x14ac:dyDescent="0.3">
      <c r="A103" s="4" t="s">
        <v>27</v>
      </c>
      <c r="B103" s="4" t="s">
        <v>22</v>
      </c>
      <c r="C103" s="4" t="s">
        <v>23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0</v>
      </c>
      <c r="K103" s="6">
        <v>0</v>
      </c>
      <c r="L103" s="6">
        <v>-9.1999999999999998E-2</v>
      </c>
      <c r="M103" s="6">
        <v>-9.1999999999999998E-2</v>
      </c>
      <c r="N103" s="6">
        <v>-9.1999999999999998E-2</v>
      </c>
      <c r="O103" s="6">
        <v>-9.1999999999999998E-2</v>
      </c>
      <c r="P103" s="6">
        <v>0</v>
      </c>
      <c r="Q103" s="4" t="s">
        <v>26</v>
      </c>
      <c r="R103" s="4">
        <v>0</v>
      </c>
      <c r="S103" s="6">
        <v>0</v>
      </c>
      <c r="T103" s="6">
        <v>48</v>
      </c>
      <c r="U103" s="6">
        <v>31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823.74</v>
      </c>
      <c r="X103" s="6">
        <f>IF(ISERROR(VLOOKUP($U$103,'TAR FIN'!$A$1:$O$85,15,0)),0,VLOOKUP($U$103,'TAR FIN'!$A$1:$O$85,15,0))</f>
        <v>201.73</v>
      </c>
      <c r="Y103" s="6"/>
      <c r="Z103" s="6">
        <f ca="1">('TUSD BE'!$AM$20+'TUSD BF'!$AM$20+'TUSD CVA'!$AM$20)*1</f>
        <v>1046.4709656688399</v>
      </c>
      <c r="AA103" s="6">
        <f>('TE BE'!$AA$10+'TE BF'!$AA$10+'TE CVA'!$AA$10)*1</f>
        <v>225.7947898398177</v>
      </c>
      <c r="AB103" s="6">
        <f>$K$103*$V$103</f>
        <v>0</v>
      </c>
      <c r="AC103" s="6">
        <f>$M$103*$W$103</f>
        <v>-75.784080000000003</v>
      </c>
      <c r="AD103" s="6">
        <f>$O$103*$X$103</f>
        <v>-18.559159999999999</v>
      </c>
      <c r="AE103" s="6">
        <f>$K$103*$Y$103</f>
        <v>0</v>
      </c>
      <c r="AF103" s="6">
        <f ca="1">$M$103*$Z$103</f>
        <v>-96.275328841533266</v>
      </c>
      <c r="AG103" s="6">
        <f>$O$103*$AA$103</f>
        <v>-20.773120665263228</v>
      </c>
    </row>
    <row r="104" spans="1:33" ht="11.25" customHeight="1" x14ac:dyDescent="0.3">
      <c r="A104" s="4" t="s">
        <v>28</v>
      </c>
      <c r="B104" s="4" t="s">
        <v>22</v>
      </c>
      <c r="C104" s="4" t="s">
        <v>23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25</v>
      </c>
      <c r="I104" s="5">
        <v>44562</v>
      </c>
      <c r="J104" s="6">
        <v>0</v>
      </c>
      <c r="K104" s="6">
        <v>0</v>
      </c>
      <c r="L104" s="6">
        <v>6.7130000000000001</v>
      </c>
      <c r="M104" s="6">
        <v>6.7130000000000001</v>
      </c>
      <c r="N104" s="6">
        <v>6.7130000000000001</v>
      </c>
      <c r="O104" s="6">
        <v>6.7130000000000001</v>
      </c>
      <c r="P104" s="6">
        <v>24</v>
      </c>
      <c r="Q104" s="4" t="s">
        <v>26</v>
      </c>
      <c r="R104" s="4">
        <v>0</v>
      </c>
      <c r="S104" s="6">
        <v>0</v>
      </c>
      <c r="T104" s="6">
        <v>48</v>
      </c>
      <c r="U104" s="6">
        <v>31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823.74</v>
      </c>
      <c r="X104" s="6">
        <f>IF(ISERROR(VLOOKUP($U$104,'TAR FIN'!$A$1:$O$85,15,0)),0,VLOOKUP($U$104,'TAR FIN'!$A$1:$O$85,15,0))</f>
        <v>201.73</v>
      </c>
      <c r="Y104" s="6"/>
      <c r="Z104" s="6">
        <f ca="1">('TUSD BE'!$AM$20+'TUSD BF'!$AM$20+'TUSD CVA'!$AM$20)*1</f>
        <v>1046.4709656688399</v>
      </c>
      <c r="AA104" s="6">
        <f>('TE BE'!$AA$10+'TE BF'!$AA$10+'TE CVA'!$AA$10)*1</f>
        <v>225.7947898398177</v>
      </c>
      <c r="AB104" s="6">
        <f>$K$104*$V$104</f>
        <v>0</v>
      </c>
      <c r="AC104" s="6">
        <f>$M$104*$W$104</f>
        <v>5529.7666200000003</v>
      </c>
      <c r="AD104" s="6">
        <f>$O$104*$X$104</f>
        <v>1354.2134899999999</v>
      </c>
      <c r="AE104" s="6">
        <f>$K$104*$Y$104</f>
        <v>0</v>
      </c>
      <c r="AF104" s="6">
        <f ca="1">$M$104*$Z$104</f>
        <v>7024.9595925349222</v>
      </c>
      <c r="AG104" s="6">
        <f>$O$104*$AA$104</f>
        <v>1515.7604241946963</v>
      </c>
    </row>
    <row r="105" spans="1:33" ht="11.25" customHeight="1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6">
        <v>0</v>
      </c>
      <c r="L105" s="6">
        <v>769.59500000000003</v>
      </c>
      <c r="M105" s="6">
        <v>769.59500000000003</v>
      </c>
      <c r="N105" s="6">
        <v>769.59500000000003</v>
      </c>
      <c r="O105" s="6">
        <v>769.59500000000003</v>
      </c>
      <c r="P105" s="6">
        <v>4527</v>
      </c>
      <c r="Q105" s="4" t="s">
        <v>26</v>
      </c>
      <c r="R105" s="4">
        <v>0</v>
      </c>
      <c r="S105" s="6">
        <v>0</v>
      </c>
      <c r="T105" s="6">
        <v>48</v>
      </c>
      <c r="U105" s="6">
        <v>31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823.74</v>
      </c>
      <c r="X105" s="6">
        <f>IF(ISERROR(VLOOKUP($U$105,'TAR FIN'!$A$1:$O$85,15,0)),0,VLOOKUP($U$105,'TAR FIN'!$A$1:$O$85,15,0))</f>
        <v>201.73</v>
      </c>
      <c r="Y105" s="6"/>
      <c r="Z105" s="6">
        <f ca="1">('TUSD BE'!$AM$20+'TUSD BF'!$AM$20+'TUSD CVA'!$AM$20)*1</f>
        <v>1046.4709656688399</v>
      </c>
      <c r="AA105" s="6">
        <f>('TE BE'!$AA$10+'TE BF'!$AA$10+'TE CVA'!$AA$10)*1</f>
        <v>225.7947898398177</v>
      </c>
      <c r="AB105" s="6">
        <f>$K$105*$V$105</f>
        <v>0</v>
      </c>
      <c r="AC105" s="6">
        <f>$M$105*$W$105</f>
        <v>633946.18530000001</v>
      </c>
      <c r="AD105" s="6">
        <f>$O$105*$X$105</f>
        <v>155250.39934999999</v>
      </c>
      <c r="AE105" s="6">
        <f>$K$105*$Y$105</f>
        <v>0</v>
      </c>
      <c r="AF105" s="6">
        <f ca="1">$M$105*$Z$105</f>
        <v>805358.82282391086</v>
      </c>
      <c r="AG105" s="6">
        <f>$O$105*$AA$105</f>
        <v>173770.5412867745</v>
      </c>
    </row>
    <row r="106" spans="1:33" ht="11.25" customHeight="1" x14ac:dyDescent="0.3">
      <c r="A106" s="4" t="s">
        <v>27</v>
      </c>
      <c r="B106" s="4" t="s">
        <v>22</v>
      </c>
      <c r="C106" s="4" t="s">
        <v>23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25</v>
      </c>
      <c r="I106" s="5">
        <v>44593</v>
      </c>
      <c r="J106" s="6">
        <v>0</v>
      </c>
      <c r="K106" s="6">
        <v>0</v>
      </c>
      <c r="L106" s="6">
        <v>-0.161</v>
      </c>
      <c r="M106" s="6">
        <v>-0.161</v>
      </c>
      <c r="N106" s="6">
        <v>-0.161</v>
      </c>
      <c r="O106" s="6">
        <v>-0.161</v>
      </c>
      <c r="P106" s="6">
        <v>0</v>
      </c>
      <c r="Q106" s="4" t="s">
        <v>26</v>
      </c>
      <c r="R106" s="4">
        <v>0</v>
      </c>
      <c r="S106" s="6">
        <v>0</v>
      </c>
      <c r="T106" s="6">
        <v>48</v>
      </c>
      <c r="U106" s="6">
        <v>31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823.74</v>
      </c>
      <c r="X106" s="6">
        <f>IF(ISERROR(VLOOKUP($U$106,'TAR FIN'!$A$1:$O$85,15,0)),0,VLOOKUP($U$106,'TAR FIN'!$A$1:$O$85,15,0))</f>
        <v>201.73</v>
      </c>
      <c r="Y106" s="6"/>
      <c r="Z106" s="6">
        <f ca="1">('TUSD BE'!$AM$20+'TUSD BF'!$AM$20+'TUSD CVA'!$AM$20)*1</f>
        <v>1046.4709656688399</v>
      </c>
      <c r="AA106" s="6">
        <f>('TE BE'!$AA$10+'TE BF'!$AA$10+'TE CVA'!$AA$10)*1</f>
        <v>225.7947898398177</v>
      </c>
      <c r="AB106" s="6">
        <f>$K$106*$V$106</f>
        <v>0</v>
      </c>
      <c r="AC106" s="6">
        <f>$M$106*$W$106</f>
        <v>-132.62214</v>
      </c>
      <c r="AD106" s="6">
        <f>$O$106*$X$106</f>
        <v>-32.478529999999999</v>
      </c>
      <c r="AE106" s="6">
        <f>$K$106*$Y$106</f>
        <v>0</v>
      </c>
      <c r="AF106" s="6">
        <f ca="1">$M$106*$Z$106</f>
        <v>-168.48182547268323</v>
      </c>
      <c r="AG106" s="6">
        <f>$O$106*$AA$106</f>
        <v>-36.352961164210647</v>
      </c>
    </row>
    <row r="107" spans="1:33" ht="11.25" customHeight="1" x14ac:dyDescent="0.3">
      <c r="A107" s="4" t="s">
        <v>28</v>
      </c>
      <c r="B107" s="4" t="s">
        <v>22</v>
      </c>
      <c r="C107" s="4" t="s">
        <v>23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25</v>
      </c>
      <c r="I107" s="5">
        <v>44593</v>
      </c>
      <c r="J107" s="6">
        <v>0</v>
      </c>
      <c r="K107" s="6">
        <v>0</v>
      </c>
      <c r="L107" s="6">
        <v>4.6079999999999997</v>
      </c>
      <c r="M107" s="6">
        <v>4.6079999999999997</v>
      </c>
      <c r="N107" s="6">
        <v>4.6079999999999997</v>
      </c>
      <c r="O107" s="6">
        <v>4.6079999999999997</v>
      </c>
      <c r="P107" s="6">
        <v>27</v>
      </c>
      <c r="Q107" s="4" t="s">
        <v>26</v>
      </c>
      <c r="R107" s="4">
        <v>0</v>
      </c>
      <c r="S107" s="6">
        <v>0</v>
      </c>
      <c r="T107" s="6">
        <v>48</v>
      </c>
      <c r="U107" s="6">
        <v>31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823.74</v>
      </c>
      <c r="X107" s="6">
        <f>IF(ISERROR(VLOOKUP($U$107,'TAR FIN'!$A$1:$O$85,15,0)),0,VLOOKUP($U$107,'TAR FIN'!$A$1:$O$85,15,0))</f>
        <v>201.73</v>
      </c>
      <c r="Y107" s="6"/>
      <c r="Z107" s="6">
        <f ca="1">('TUSD BE'!$AM$20+'TUSD BF'!$AM$20+'TUSD CVA'!$AM$20)*1</f>
        <v>1046.4709656688399</v>
      </c>
      <c r="AA107" s="6">
        <f>('TE BE'!$AA$10+'TE BF'!$AA$10+'TE CVA'!$AA$10)*1</f>
        <v>225.7947898398177</v>
      </c>
      <c r="AB107" s="6">
        <f>$K$107*$V$107</f>
        <v>0</v>
      </c>
      <c r="AC107" s="6">
        <f>$M$107*$W$107</f>
        <v>3795.7939199999996</v>
      </c>
      <c r="AD107" s="6">
        <f>$O$107*$X$107</f>
        <v>929.57183999999984</v>
      </c>
      <c r="AE107" s="6">
        <f>$K$107*$Y$107</f>
        <v>0</v>
      </c>
      <c r="AF107" s="6">
        <f ca="1">$M$107*$Z$107</f>
        <v>4822.138209802014</v>
      </c>
      <c r="AG107" s="6">
        <f>$O$107*$AA$107</f>
        <v>1040.46239158188</v>
      </c>
    </row>
    <row r="108" spans="1:33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44621</v>
      </c>
      <c r="J108" s="6">
        <v>0</v>
      </c>
      <c r="K108" s="6">
        <v>0</v>
      </c>
      <c r="L108" s="6">
        <v>769.95100000000002</v>
      </c>
      <c r="M108" s="6">
        <v>769.95100000000002</v>
      </c>
      <c r="N108" s="6">
        <v>769.95100000000002</v>
      </c>
      <c r="O108" s="6">
        <v>769.95100000000002</v>
      </c>
      <c r="P108" s="6">
        <v>4388</v>
      </c>
      <c r="Q108" s="4" t="s">
        <v>26</v>
      </c>
      <c r="R108" s="4">
        <v>0</v>
      </c>
      <c r="S108" s="6">
        <v>0</v>
      </c>
      <c r="T108" s="6">
        <v>48</v>
      </c>
      <c r="U108" s="6">
        <v>31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823.74</v>
      </c>
      <c r="X108" s="6">
        <f>IF(ISERROR(VLOOKUP($U$108,'TAR FIN'!$A$1:$O$85,15,0)),0,VLOOKUP($U$108,'TAR FIN'!$A$1:$O$85,15,0))</f>
        <v>201.73</v>
      </c>
      <c r="Y108" s="6"/>
      <c r="Z108" s="6">
        <f ca="1">('TUSD BE'!$AM$20+'TUSD BF'!$AM$20+'TUSD CVA'!$AM$20)*1</f>
        <v>1046.4709656688399</v>
      </c>
      <c r="AA108" s="6">
        <f>('TE BE'!$AA$10+'TE BF'!$AA$10+'TE CVA'!$AA$10)*1</f>
        <v>225.7947898398177</v>
      </c>
      <c r="AB108" s="6">
        <f>$K$108*$V$108</f>
        <v>0</v>
      </c>
      <c r="AC108" s="6">
        <f>$M$108*$W$108</f>
        <v>634239.43674000003</v>
      </c>
      <c r="AD108" s="6">
        <f>$O$108*$X$108</f>
        <v>155322.21523</v>
      </c>
      <c r="AE108" s="6">
        <f>$K$108*$Y$108</f>
        <v>0</v>
      </c>
      <c r="AF108" s="6">
        <f ca="1">$M$108*$Z$108</f>
        <v>805731.36648768897</v>
      </c>
      <c r="AG108" s="6">
        <f>$O$108*$AA$108</f>
        <v>173850.92423195747</v>
      </c>
    </row>
    <row r="109" spans="1:33" ht="11.25" customHeight="1" x14ac:dyDescent="0.3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-0.47399999999999998</v>
      </c>
      <c r="M109" s="6">
        <v>-0.47399999999999998</v>
      </c>
      <c r="N109" s="6">
        <v>-0.47399999999999998</v>
      </c>
      <c r="O109" s="6">
        <v>-0.47399999999999998</v>
      </c>
      <c r="P109" s="6">
        <v>0</v>
      </c>
      <c r="Q109" s="4" t="s">
        <v>26</v>
      </c>
      <c r="R109" s="4">
        <v>0</v>
      </c>
      <c r="S109" s="6">
        <v>0</v>
      </c>
      <c r="T109" s="6">
        <v>48</v>
      </c>
      <c r="U109" s="6">
        <v>31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823.74</v>
      </c>
      <c r="X109" s="6">
        <f>IF(ISERROR(VLOOKUP($U$109,'TAR FIN'!$A$1:$O$85,15,0)),0,VLOOKUP($U$109,'TAR FIN'!$A$1:$O$85,15,0))</f>
        <v>201.73</v>
      </c>
      <c r="Y109" s="6"/>
      <c r="Z109" s="6">
        <f ca="1">('TUSD BE'!$AM$20+'TUSD BF'!$AM$20+'TUSD CVA'!$AM$20)*1</f>
        <v>1046.4709656688399</v>
      </c>
      <c r="AA109" s="6">
        <f>('TE BE'!$AA$10+'TE BF'!$AA$10+'TE CVA'!$AA$10)*1</f>
        <v>225.7947898398177</v>
      </c>
      <c r="AB109" s="6">
        <f>$K$109*$V$109</f>
        <v>0</v>
      </c>
      <c r="AC109" s="6">
        <f>$M$109*$W$109</f>
        <v>-390.45276000000001</v>
      </c>
      <c r="AD109" s="6">
        <f>$O$109*$X$109</f>
        <v>-95.620019999999997</v>
      </c>
      <c r="AE109" s="6">
        <f>$K$109*$Y$109</f>
        <v>0</v>
      </c>
      <c r="AF109" s="6">
        <f ca="1">$M$109*$Z$109</f>
        <v>-496.02723772703007</v>
      </c>
      <c r="AG109" s="6">
        <f>$O$109*$AA$109</f>
        <v>-107.02673038407359</v>
      </c>
    </row>
    <row r="110" spans="1:33" ht="11.25" customHeight="1" x14ac:dyDescent="0.3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44621</v>
      </c>
      <c r="J110" s="6">
        <v>0</v>
      </c>
      <c r="K110" s="6">
        <v>0</v>
      </c>
      <c r="L110" s="6">
        <v>3.9129999999999998</v>
      </c>
      <c r="M110" s="6">
        <v>3.9129999999999998</v>
      </c>
      <c r="N110" s="6">
        <v>3.9129999999999998</v>
      </c>
      <c r="O110" s="6">
        <v>3.9129999999999998</v>
      </c>
      <c r="P110" s="6">
        <v>28</v>
      </c>
      <c r="Q110" s="4" t="s">
        <v>26</v>
      </c>
      <c r="R110" s="4">
        <v>0</v>
      </c>
      <c r="S110" s="6">
        <v>0</v>
      </c>
      <c r="T110" s="6">
        <v>48</v>
      </c>
      <c r="U110" s="6">
        <v>31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823.74</v>
      </c>
      <c r="X110" s="6">
        <f>IF(ISERROR(VLOOKUP($U$110,'TAR FIN'!$A$1:$O$85,15,0)),0,VLOOKUP($U$110,'TAR FIN'!$A$1:$O$85,15,0))</f>
        <v>201.73</v>
      </c>
      <c r="Y110" s="6"/>
      <c r="Z110" s="6">
        <f ca="1">('TUSD BE'!$AM$20+'TUSD BF'!$AM$20+'TUSD CVA'!$AM$20)*1</f>
        <v>1046.4709656688399</v>
      </c>
      <c r="AA110" s="6">
        <f>('TE BE'!$AA$10+'TE BF'!$AA$10+'TE CVA'!$AA$10)*1</f>
        <v>225.7947898398177</v>
      </c>
      <c r="AB110" s="6">
        <f>$K$110*$V$110</f>
        <v>0</v>
      </c>
      <c r="AC110" s="6">
        <f>$M$110*$W$110</f>
        <v>3223.2946199999997</v>
      </c>
      <c r="AD110" s="6">
        <f>$O$110*$X$110</f>
        <v>789.36948999999993</v>
      </c>
      <c r="AE110" s="6">
        <f>$K$110*$Y$110</f>
        <v>0</v>
      </c>
      <c r="AF110" s="6">
        <f ca="1">$M$110*$Z$110</f>
        <v>4094.8408886621701</v>
      </c>
      <c r="AG110" s="6">
        <f>$O$110*$AA$110</f>
        <v>883.53501264320664</v>
      </c>
    </row>
    <row r="111" spans="1:3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29</v>
      </c>
      <c r="F111" s="4" t="s">
        <v>25</v>
      </c>
      <c r="G111" s="4" t="s">
        <v>25</v>
      </c>
      <c r="H111" s="4" t="s">
        <v>25</v>
      </c>
      <c r="I111" s="5">
        <v>44287</v>
      </c>
      <c r="J111" s="6">
        <v>0</v>
      </c>
      <c r="K111" s="6">
        <v>0</v>
      </c>
      <c r="L111" s="6">
        <v>1.89</v>
      </c>
      <c r="M111" s="6">
        <v>1.89</v>
      </c>
      <c r="N111" s="6">
        <v>1.89</v>
      </c>
      <c r="O111" s="6">
        <v>1.89</v>
      </c>
      <c r="P111" s="6">
        <v>1</v>
      </c>
      <c r="Q111" s="4" t="s">
        <v>26</v>
      </c>
      <c r="R111" s="4">
        <v>0</v>
      </c>
      <c r="S111" s="6">
        <v>0</v>
      </c>
      <c r="T111" s="6">
        <v>44</v>
      </c>
      <c r="U111" s="6">
        <v>32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245.01</v>
      </c>
      <c r="X111" s="6">
        <f>IF(ISERROR(VLOOKUP($U$111,'TAR FIN'!$A$1:$O$85,15,0)),0,VLOOKUP($U$111,'TAR FIN'!$A$1:$O$85,15,0))</f>
        <v>70.61</v>
      </c>
      <c r="Y111" s="6"/>
      <c r="Z111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1" s="6">
        <f>('TE BE'!$AA$11+'TE BF'!$AA$11+'TE CVA'!$AA$11)*(1-CUSTOS!$M$34)</f>
        <v>79.028176443936189</v>
      </c>
      <c r="AB111" s="6">
        <f>$K$111*$V$111</f>
        <v>0</v>
      </c>
      <c r="AC111" s="6">
        <f>$M$111*$W$111</f>
        <v>463.06889999999999</v>
      </c>
      <c r="AD111" s="6">
        <f>$O$111*$X$111</f>
        <v>133.4529</v>
      </c>
      <c r="AE111" s="6">
        <f>$K$111*$Y$111</f>
        <v>0</v>
      </c>
      <c r="AF111" s="6">
        <f ca="1">$M$111*$Z$111</f>
        <v>598.69283555330549</v>
      </c>
      <c r="AG111" s="6">
        <f>$O$111*$AA$111</f>
        <v>149.3632534790394</v>
      </c>
    </row>
    <row r="112" spans="1:33" ht="11.25" customHeight="1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29</v>
      </c>
      <c r="F112" s="4" t="s">
        <v>25</v>
      </c>
      <c r="G112" s="4" t="s">
        <v>25</v>
      </c>
      <c r="H112" s="4" t="s">
        <v>25</v>
      </c>
      <c r="I112" s="5">
        <v>44317</v>
      </c>
      <c r="J112" s="6">
        <v>0</v>
      </c>
      <c r="K112" s="6">
        <v>0</v>
      </c>
      <c r="L112" s="6">
        <v>2.04</v>
      </c>
      <c r="M112" s="6">
        <v>2.04</v>
      </c>
      <c r="N112" s="6">
        <v>2.04</v>
      </c>
      <c r="O112" s="6">
        <v>2.04</v>
      </c>
      <c r="P112" s="6">
        <v>0</v>
      </c>
      <c r="Q112" s="4" t="s">
        <v>26</v>
      </c>
      <c r="R112" s="4">
        <v>0</v>
      </c>
      <c r="S112" s="6">
        <v>0</v>
      </c>
      <c r="T112" s="6">
        <v>44</v>
      </c>
      <c r="U112" s="6">
        <v>32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245.01</v>
      </c>
      <c r="X112" s="6">
        <f>IF(ISERROR(VLOOKUP($U$112,'TAR FIN'!$A$1:$O$85,15,0)),0,VLOOKUP($U$112,'TAR FIN'!$A$1:$O$85,15,0))</f>
        <v>70.61</v>
      </c>
      <c r="Y112" s="6"/>
      <c r="Z112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2" s="6">
        <f>('TE BE'!$AA$11+'TE BF'!$AA$11+'TE CVA'!$AA$11)*(1-CUSTOS!$M$34)</f>
        <v>79.028176443936189</v>
      </c>
      <c r="AB112" s="6">
        <f>$K$112*$V$112</f>
        <v>0</v>
      </c>
      <c r="AC112" s="6">
        <f>$M$112*$W$112</f>
        <v>499.82040000000001</v>
      </c>
      <c r="AD112" s="6">
        <f>$O$112*$X$112</f>
        <v>144.0444</v>
      </c>
      <c r="AE112" s="6">
        <f>$K$112*$Y$112</f>
        <v>0</v>
      </c>
      <c r="AF112" s="6">
        <f ca="1">$M$112*$Z$112</f>
        <v>646.20813996229799</v>
      </c>
      <c r="AG112" s="6">
        <f>$O$112*$AA$112</f>
        <v>161.21747994562983</v>
      </c>
    </row>
    <row r="113" spans="1:33" ht="11.25" customHeight="1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29</v>
      </c>
      <c r="F113" s="4" t="s">
        <v>25</v>
      </c>
      <c r="G113" s="4" t="s">
        <v>25</v>
      </c>
      <c r="H113" s="4" t="s">
        <v>25</v>
      </c>
      <c r="I113" s="5">
        <v>44348</v>
      </c>
      <c r="J113" s="6">
        <v>0</v>
      </c>
      <c r="K113" s="6">
        <v>0</v>
      </c>
      <c r="L113" s="6">
        <v>2.16</v>
      </c>
      <c r="M113" s="6">
        <v>2.16</v>
      </c>
      <c r="N113" s="6">
        <v>2.16</v>
      </c>
      <c r="O113" s="6">
        <v>2.16</v>
      </c>
      <c r="P113" s="6">
        <v>1</v>
      </c>
      <c r="Q113" s="4" t="s">
        <v>26</v>
      </c>
      <c r="R113" s="4">
        <v>0</v>
      </c>
      <c r="S113" s="6">
        <v>0</v>
      </c>
      <c r="T113" s="6">
        <v>44</v>
      </c>
      <c r="U113" s="6">
        <v>32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245.01</v>
      </c>
      <c r="X113" s="6">
        <f>IF(ISERROR(VLOOKUP($U$113,'TAR FIN'!$A$1:$O$85,15,0)),0,VLOOKUP($U$113,'TAR FIN'!$A$1:$O$85,15,0))</f>
        <v>70.61</v>
      </c>
      <c r="Y113" s="6"/>
      <c r="Z113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3" s="6">
        <f>('TE BE'!$AA$11+'TE BF'!$AA$11+'TE CVA'!$AA$11)*(1-CUSTOS!$M$34)</f>
        <v>79.028176443936189</v>
      </c>
      <c r="AB113" s="6">
        <f>$K$113*$V$113</f>
        <v>0</v>
      </c>
      <c r="AC113" s="6">
        <f>$M$113*$W$113</f>
        <v>529.22159999999997</v>
      </c>
      <c r="AD113" s="6">
        <f>$O$113*$X$113</f>
        <v>152.51760000000002</v>
      </c>
      <c r="AE113" s="6">
        <f>$K$113*$Y$113</f>
        <v>0</v>
      </c>
      <c r="AF113" s="6">
        <f ca="1">$M$113*$Z$113</f>
        <v>684.22038348949206</v>
      </c>
      <c r="AG113" s="6">
        <f>$O$113*$AA$113</f>
        <v>170.70086111890217</v>
      </c>
    </row>
    <row r="114" spans="1:3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29</v>
      </c>
      <c r="F114" s="4" t="s">
        <v>25</v>
      </c>
      <c r="G114" s="4" t="s">
        <v>25</v>
      </c>
      <c r="H114" s="4" t="s">
        <v>25</v>
      </c>
      <c r="I114" s="5">
        <v>44378</v>
      </c>
      <c r="J114" s="6">
        <v>0</v>
      </c>
      <c r="K114" s="6">
        <v>0</v>
      </c>
      <c r="L114" s="6">
        <v>2.2200000000000002</v>
      </c>
      <c r="M114" s="6">
        <v>2.2200000000000002</v>
      </c>
      <c r="N114" s="6">
        <v>2.2200000000000002</v>
      </c>
      <c r="O114" s="6">
        <v>2.2200000000000002</v>
      </c>
      <c r="P114" s="6">
        <v>2</v>
      </c>
      <c r="Q114" s="4" t="s">
        <v>26</v>
      </c>
      <c r="R114" s="4">
        <v>0</v>
      </c>
      <c r="S114" s="6">
        <v>0</v>
      </c>
      <c r="T114" s="6">
        <v>44</v>
      </c>
      <c r="U114" s="6">
        <v>32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245.01</v>
      </c>
      <c r="X114" s="6">
        <f>IF(ISERROR(VLOOKUP($U$114,'TAR FIN'!$A$1:$O$85,15,0)),0,VLOOKUP($U$114,'TAR FIN'!$A$1:$O$85,15,0))</f>
        <v>70.61</v>
      </c>
      <c r="Y114" s="6"/>
      <c r="Z114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4" s="6">
        <f>('TE BE'!$AA$11+'TE BF'!$AA$11+'TE CVA'!$AA$11)*(1-CUSTOS!$M$34)</f>
        <v>79.028176443936189</v>
      </c>
      <c r="AB114" s="6">
        <f>$K$114*$V$114</f>
        <v>0</v>
      </c>
      <c r="AC114" s="6">
        <f>$M$114*$W$114</f>
        <v>543.92219999999998</v>
      </c>
      <c r="AD114" s="6">
        <f>$O$114*$X$114</f>
        <v>156.75420000000003</v>
      </c>
      <c r="AE114" s="6">
        <f>$K$114*$Y$114</f>
        <v>0</v>
      </c>
      <c r="AF114" s="6">
        <f ca="1">$M$114*$Z$114</f>
        <v>703.22650525308904</v>
      </c>
      <c r="AG114" s="6">
        <f>$O$114*$AA$114</f>
        <v>175.44255170553836</v>
      </c>
    </row>
    <row r="115" spans="1:33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29</v>
      </c>
      <c r="F115" s="4" t="s">
        <v>25</v>
      </c>
      <c r="G115" s="4" t="s">
        <v>25</v>
      </c>
      <c r="H115" s="4" t="s">
        <v>25</v>
      </c>
      <c r="I115" s="5">
        <v>44409</v>
      </c>
      <c r="J115" s="6">
        <v>0</v>
      </c>
      <c r="K115" s="6">
        <v>0</v>
      </c>
      <c r="L115" s="6">
        <v>2.25</v>
      </c>
      <c r="M115" s="6">
        <v>2.25</v>
      </c>
      <c r="N115" s="6">
        <v>2.25</v>
      </c>
      <c r="O115" s="6">
        <v>2.25</v>
      </c>
      <c r="P115" s="6">
        <v>0</v>
      </c>
      <c r="Q115" s="4" t="s">
        <v>26</v>
      </c>
      <c r="R115" s="4">
        <v>0</v>
      </c>
      <c r="S115" s="6">
        <v>0</v>
      </c>
      <c r="T115" s="6">
        <v>44</v>
      </c>
      <c r="U115" s="6">
        <v>32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245.01</v>
      </c>
      <c r="X115" s="6">
        <f>IF(ISERROR(VLOOKUP($U$115,'TAR FIN'!$A$1:$O$85,15,0)),0,VLOOKUP($U$115,'TAR FIN'!$A$1:$O$85,15,0))</f>
        <v>70.61</v>
      </c>
      <c r="Y115" s="6"/>
      <c r="Z115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5" s="6">
        <f>('TE BE'!$AA$11+'TE BF'!$AA$11+'TE CVA'!$AA$11)*(1-CUSTOS!$M$34)</f>
        <v>79.028176443936189</v>
      </c>
      <c r="AB115" s="6">
        <f>$K$115*$V$115</f>
        <v>0</v>
      </c>
      <c r="AC115" s="6">
        <f>$M$115*$W$115</f>
        <v>551.27250000000004</v>
      </c>
      <c r="AD115" s="6">
        <f>$O$115*$X$115</f>
        <v>158.8725</v>
      </c>
      <c r="AE115" s="6">
        <f>$K$115*$Y$115</f>
        <v>0</v>
      </c>
      <c r="AF115" s="6">
        <f ca="1">$M$115*$Z$115</f>
        <v>712.72956613488748</v>
      </c>
      <c r="AG115" s="6">
        <f>$O$115*$AA$115</f>
        <v>177.81339699885643</v>
      </c>
    </row>
    <row r="116" spans="1:3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29</v>
      </c>
      <c r="F116" s="4" t="s">
        <v>25</v>
      </c>
      <c r="G116" s="4" t="s">
        <v>25</v>
      </c>
      <c r="H116" s="4" t="s">
        <v>25</v>
      </c>
      <c r="I116" s="5">
        <v>44440</v>
      </c>
      <c r="J116" s="6">
        <v>0</v>
      </c>
      <c r="K116" s="6">
        <v>0</v>
      </c>
      <c r="L116" s="6">
        <v>2.34</v>
      </c>
      <c r="M116" s="6">
        <v>2.34</v>
      </c>
      <c r="N116" s="6">
        <v>2.34</v>
      </c>
      <c r="O116" s="6">
        <v>2.34</v>
      </c>
      <c r="P116" s="6">
        <v>0</v>
      </c>
      <c r="Q116" s="4" t="s">
        <v>26</v>
      </c>
      <c r="R116" s="4">
        <v>0</v>
      </c>
      <c r="S116" s="6">
        <v>0</v>
      </c>
      <c r="T116" s="6">
        <v>44</v>
      </c>
      <c r="U116" s="6">
        <v>32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245.01</v>
      </c>
      <c r="X116" s="6">
        <f>IF(ISERROR(VLOOKUP($U$116,'TAR FIN'!$A$1:$O$85,15,0)),0,VLOOKUP($U$116,'TAR FIN'!$A$1:$O$85,15,0))</f>
        <v>70.61</v>
      </c>
      <c r="Y116" s="6"/>
      <c r="Z116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6" s="6">
        <f>('TE BE'!$AA$11+'TE BF'!$AA$11+'TE CVA'!$AA$11)*(1-CUSTOS!$M$34)</f>
        <v>79.028176443936189</v>
      </c>
      <c r="AB116" s="6">
        <f>$K$116*$V$116</f>
        <v>0</v>
      </c>
      <c r="AC116" s="6">
        <f>$M$116*$W$116</f>
        <v>573.32339999999999</v>
      </c>
      <c r="AD116" s="6">
        <f>$O$116*$X$116</f>
        <v>165.22739999999999</v>
      </c>
      <c r="AE116" s="6">
        <f>$K$116*$Y$116</f>
        <v>0</v>
      </c>
      <c r="AF116" s="6">
        <f ca="1">$M$116*$Z$116</f>
        <v>741.238748780283</v>
      </c>
      <c r="AG116" s="6">
        <f>$O$116*$AA$116</f>
        <v>184.92593287881067</v>
      </c>
    </row>
    <row r="117" spans="1:33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29</v>
      </c>
      <c r="F117" s="4" t="s">
        <v>25</v>
      </c>
      <c r="G117" s="4" t="s">
        <v>25</v>
      </c>
      <c r="H117" s="4" t="s">
        <v>25</v>
      </c>
      <c r="I117" s="5">
        <v>44470</v>
      </c>
      <c r="J117" s="6">
        <v>0</v>
      </c>
      <c r="K117" s="6">
        <v>0</v>
      </c>
      <c r="L117" s="6">
        <v>2.4900000000000002</v>
      </c>
      <c r="M117" s="6">
        <v>2.4900000000000002</v>
      </c>
      <c r="N117" s="6">
        <v>2.4900000000000002</v>
      </c>
      <c r="O117" s="6">
        <v>2.4900000000000002</v>
      </c>
      <c r="P117" s="6">
        <v>0</v>
      </c>
      <c r="Q117" s="4" t="s">
        <v>26</v>
      </c>
      <c r="R117" s="4">
        <v>0</v>
      </c>
      <c r="S117" s="6">
        <v>0</v>
      </c>
      <c r="T117" s="6">
        <v>44</v>
      </c>
      <c r="U117" s="6">
        <v>32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245.01</v>
      </c>
      <c r="X117" s="6">
        <f>IF(ISERROR(VLOOKUP($U$117,'TAR FIN'!$A$1:$O$85,15,0)),0,VLOOKUP($U$117,'TAR FIN'!$A$1:$O$85,15,0))</f>
        <v>70.61</v>
      </c>
      <c r="Y117" s="6"/>
      <c r="Z117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7" s="6">
        <f>('TE BE'!$AA$11+'TE BF'!$AA$11+'TE CVA'!$AA$11)*(1-CUSTOS!$M$34)</f>
        <v>79.028176443936189</v>
      </c>
      <c r="AB117" s="6">
        <f>$K$117*$V$117</f>
        <v>0</v>
      </c>
      <c r="AC117" s="6">
        <f>$M$117*$W$117</f>
        <v>610.07490000000007</v>
      </c>
      <c r="AD117" s="6">
        <f>$O$117*$X$117</f>
        <v>175.81890000000001</v>
      </c>
      <c r="AE117" s="6">
        <f>$K$117*$Y$117</f>
        <v>0</v>
      </c>
      <c r="AF117" s="6">
        <f ca="1">$M$117*$Z$117</f>
        <v>788.75405318927562</v>
      </c>
      <c r="AG117" s="6">
        <f>$O$117*$AA$117</f>
        <v>196.78015934540113</v>
      </c>
    </row>
    <row r="118" spans="1:33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29</v>
      </c>
      <c r="F118" s="4" t="s">
        <v>25</v>
      </c>
      <c r="G118" s="4" t="s">
        <v>25</v>
      </c>
      <c r="H118" s="4" t="s">
        <v>25</v>
      </c>
      <c r="I118" s="5">
        <v>44501</v>
      </c>
      <c r="J118" s="6">
        <v>0</v>
      </c>
      <c r="K118" s="6">
        <v>0</v>
      </c>
      <c r="L118" s="6">
        <v>2.7</v>
      </c>
      <c r="M118" s="6">
        <v>2.7</v>
      </c>
      <c r="N118" s="6">
        <v>2.7</v>
      </c>
      <c r="O118" s="6">
        <v>2.7</v>
      </c>
      <c r="P118" s="6">
        <v>0</v>
      </c>
      <c r="Q118" s="4" t="s">
        <v>26</v>
      </c>
      <c r="R118" s="4">
        <v>0</v>
      </c>
      <c r="S118" s="6">
        <v>0</v>
      </c>
      <c r="T118" s="6">
        <v>44</v>
      </c>
      <c r="U118" s="6">
        <v>32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245.01</v>
      </c>
      <c r="X118" s="6">
        <f>IF(ISERROR(VLOOKUP($U$118,'TAR FIN'!$A$1:$O$85,15,0)),0,VLOOKUP($U$118,'TAR FIN'!$A$1:$O$85,15,0))</f>
        <v>70.61</v>
      </c>
      <c r="Y118" s="6"/>
      <c r="Z118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8" s="6">
        <f>('TE BE'!$AA$11+'TE BF'!$AA$11+'TE CVA'!$AA$11)*(1-CUSTOS!$M$34)</f>
        <v>79.028176443936189</v>
      </c>
      <c r="AB118" s="6">
        <f>$K$118*$V$118</f>
        <v>0</v>
      </c>
      <c r="AC118" s="6">
        <f>$M$118*$W$118</f>
        <v>661.52700000000004</v>
      </c>
      <c r="AD118" s="6">
        <f>$O$118*$X$118</f>
        <v>190.64700000000002</v>
      </c>
      <c r="AE118" s="6">
        <f>$K$118*$Y$118</f>
        <v>0</v>
      </c>
      <c r="AF118" s="6">
        <f ca="1">$M$118*$Z$118</f>
        <v>855.27547936186511</v>
      </c>
      <c r="AG118" s="6">
        <f>$O$118*$AA$118</f>
        <v>213.37607639862773</v>
      </c>
    </row>
    <row r="119" spans="1:33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29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2.73</v>
      </c>
      <c r="M119" s="6">
        <v>2.73</v>
      </c>
      <c r="N119" s="6">
        <v>2.73</v>
      </c>
      <c r="O119" s="6">
        <v>2.73</v>
      </c>
      <c r="P119" s="6">
        <v>1</v>
      </c>
      <c r="Q119" s="4" t="s">
        <v>26</v>
      </c>
      <c r="R119" s="4">
        <v>0</v>
      </c>
      <c r="S119" s="6">
        <v>0</v>
      </c>
      <c r="T119" s="6">
        <v>44</v>
      </c>
      <c r="U119" s="6">
        <v>32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245.01</v>
      </c>
      <c r="X119" s="6">
        <f>IF(ISERROR(VLOOKUP($U$119,'TAR FIN'!$A$1:$O$85,15,0)),0,VLOOKUP($U$119,'TAR FIN'!$A$1:$O$85,15,0))</f>
        <v>70.61</v>
      </c>
      <c r="Y119" s="6"/>
      <c r="Z119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19" s="6">
        <f>('TE BE'!$AA$11+'TE BF'!$AA$11+'TE CVA'!$AA$11)*(1-CUSTOS!$M$34)</f>
        <v>79.028176443936189</v>
      </c>
      <c r="AB119" s="6">
        <f>$K$119*$V$119</f>
        <v>0</v>
      </c>
      <c r="AC119" s="6">
        <f>$M$119*$W$119</f>
        <v>668.87729999999999</v>
      </c>
      <c r="AD119" s="6">
        <f>$O$119*$X$119</f>
        <v>192.7653</v>
      </c>
      <c r="AE119" s="6">
        <f>$K$119*$Y$119</f>
        <v>0</v>
      </c>
      <c r="AF119" s="6">
        <f ca="1">$M$119*$Z$119</f>
        <v>864.77854024366354</v>
      </c>
      <c r="AG119" s="6">
        <f>$O$119*$AA$119</f>
        <v>215.7469216919458</v>
      </c>
    </row>
    <row r="120" spans="1:33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29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2.97</v>
      </c>
      <c r="M120" s="6">
        <v>2.97</v>
      </c>
      <c r="N120" s="6">
        <v>2.97</v>
      </c>
      <c r="O120" s="6">
        <v>2.97</v>
      </c>
      <c r="P120" s="6">
        <v>1</v>
      </c>
      <c r="Q120" s="4" t="s">
        <v>26</v>
      </c>
      <c r="R120" s="4">
        <v>0</v>
      </c>
      <c r="S120" s="6">
        <v>0</v>
      </c>
      <c r="T120" s="6">
        <v>44</v>
      </c>
      <c r="U120" s="6">
        <v>32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245.01</v>
      </c>
      <c r="X120" s="6">
        <f>IF(ISERROR(VLOOKUP($U$120,'TAR FIN'!$A$1:$O$85,15,0)),0,VLOOKUP($U$120,'TAR FIN'!$A$1:$O$85,15,0))</f>
        <v>70.61</v>
      </c>
      <c r="Y120" s="6"/>
      <c r="Z120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20" s="6">
        <f>('TE BE'!$AA$11+'TE BF'!$AA$11+'TE CVA'!$AA$11)*(1-CUSTOS!$M$34)</f>
        <v>79.028176443936189</v>
      </c>
      <c r="AB120" s="6">
        <f>$K$120*$V$120</f>
        <v>0</v>
      </c>
      <c r="AC120" s="6">
        <f>$M$120*$W$120</f>
        <v>727.67970000000003</v>
      </c>
      <c r="AD120" s="6">
        <f>$O$120*$X$120</f>
        <v>209.71170000000001</v>
      </c>
      <c r="AE120" s="6">
        <f>$K$120*$Y$120</f>
        <v>0</v>
      </c>
      <c r="AF120" s="6">
        <f ca="1">$M$120*$Z$120</f>
        <v>940.80302729805157</v>
      </c>
      <c r="AG120" s="6">
        <f>$O$120*$AA$120</f>
        <v>234.7136840384905</v>
      </c>
    </row>
    <row r="121" spans="1:33" ht="11.25" customHeight="1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29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3.36</v>
      </c>
      <c r="M121" s="6">
        <v>3.36</v>
      </c>
      <c r="N121" s="6">
        <v>3.36</v>
      </c>
      <c r="O121" s="6">
        <v>3.36</v>
      </c>
      <c r="P121" s="6">
        <v>1</v>
      </c>
      <c r="Q121" s="4" t="s">
        <v>26</v>
      </c>
      <c r="R121" s="4">
        <v>0</v>
      </c>
      <c r="S121" s="6">
        <v>0</v>
      </c>
      <c r="T121" s="6">
        <v>44</v>
      </c>
      <c r="U121" s="6">
        <v>32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245.01</v>
      </c>
      <c r="X121" s="6">
        <f>IF(ISERROR(VLOOKUP($U$121,'TAR FIN'!$A$1:$O$85,15,0)),0,VLOOKUP($U$121,'TAR FIN'!$A$1:$O$85,15,0))</f>
        <v>70.61</v>
      </c>
      <c r="Y121" s="6"/>
      <c r="Z121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21" s="6">
        <f>('TE BE'!$AA$11+'TE BF'!$AA$11+'TE CVA'!$AA$11)*(1-CUSTOS!$M$34)</f>
        <v>79.028176443936189</v>
      </c>
      <c r="AB121" s="6">
        <f>$K$121*$V$121</f>
        <v>0</v>
      </c>
      <c r="AC121" s="6">
        <f>$M$121*$W$121</f>
        <v>823.23359999999991</v>
      </c>
      <c r="AD121" s="6">
        <f>$O$121*$X$121</f>
        <v>237.24959999999999</v>
      </c>
      <c r="AE121" s="6">
        <f>$K$121*$Y$121</f>
        <v>0</v>
      </c>
      <c r="AF121" s="6">
        <f ca="1">$M$121*$Z$121</f>
        <v>1064.342818761432</v>
      </c>
      <c r="AG121" s="6">
        <f>$O$121*$AA$121</f>
        <v>265.5346728516256</v>
      </c>
    </row>
    <row r="122" spans="1:3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29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7.62</v>
      </c>
      <c r="M122" s="6">
        <v>7.62</v>
      </c>
      <c r="N122" s="6">
        <v>7.62</v>
      </c>
      <c r="O122" s="6">
        <v>7.62</v>
      </c>
      <c r="P122" s="6">
        <v>11</v>
      </c>
      <c r="Q122" s="4" t="s">
        <v>26</v>
      </c>
      <c r="R122" s="4">
        <v>0</v>
      </c>
      <c r="S122" s="6">
        <v>0</v>
      </c>
      <c r="T122" s="6">
        <v>44</v>
      </c>
      <c r="U122" s="6">
        <v>32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245.01</v>
      </c>
      <c r="X122" s="6">
        <f>IF(ISERROR(VLOOKUP($U$122,'TAR FIN'!$A$1:$O$85,15,0)),0,VLOOKUP($U$122,'TAR FIN'!$A$1:$O$85,15,0))</f>
        <v>70.61</v>
      </c>
      <c r="Y122" s="6"/>
      <c r="Z122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122" s="6">
        <f>('TE BE'!$AA$11+'TE BF'!$AA$11+'TE CVA'!$AA$11)*(1-CUSTOS!$M$34)</f>
        <v>79.028176443936189</v>
      </c>
      <c r="AB122" s="6">
        <f>$K$122*$V$122</f>
        <v>0</v>
      </c>
      <c r="AC122" s="6">
        <f>$M$122*$W$122</f>
        <v>1866.9762000000001</v>
      </c>
      <c r="AD122" s="6">
        <f>$O$122*$X$122</f>
        <v>538.04819999999995</v>
      </c>
      <c r="AE122" s="6">
        <f>$K$122*$Y$122</f>
        <v>0</v>
      </c>
      <c r="AF122" s="6">
        <f ca="1">$M$122*$Z$122</f>
        <v>2413.777463976819</v>
      </c>
      <c r="AG122" s="6">
        <f>$O$122*$AA$122</f>
        <v>602.1947045027938</v>
      </c>
    </row>
    <row r="123" spans="1:33" ht="11.25" customHeight="1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30</v>
      </c>
      <c r="F123" s="4" t="s">
        <v>25</v>
      </c>
      <c r="G123" s="4" t="s">
        <v>25</v>
      </c>
      <c r="H123" s="4" t="s">
        <v>25</v>
      </c>
      <c r="I123" s="5">
        <v>44287</v>
      </c>
      <c r="J123" s="6">
        <v>0</v>
      </c>
      <c r="K123" s="6">
        <v>0</v>
      </c>
      <c r="L123" s="6">
        <v>4.13</v>
      </c>
      <c r="M123" s="6">
        <v>4.13</v>
      </c>
      <c r="N123" s="6">
        <v>4.13</v>
      </c>
      <c r="O123" s="6">
        <v>4.13</v>
      </c>
      <c r="P123" s="6">
        <v>9</v>
      </c>
      <c r="Q123" s="4" t="s">
        <v>26</v>
      </c>
      <c r="R123" s="4">
        <v>0</v>
      </c>
      <c r="S123" s="6">
        <v>0</v>
      </c>
      <c r="T123" s="6">
        <v>45</v>
      </c>
      <c r="U123" s="6">
        <v>33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420.02</v>
      </c>
      <c r="X123" s="6">
        <f>IF(ISERROR(VLOOKUP($U$123,'TAR FIN'!$A$1:$O$85,15,0)),0,VLOOKUP($U$123,'TAR FIN'!$A$1:$O$85,15,0))</f>
        <v>121.04</v>
      </c>
      <c r="Y123" s="6"/>
      <c r="Z123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3" s="6">
        <f>('TE BE'!$AA$12+'TE BF'!$AA$12+'TE CVA'!$AA$12)*(1-CUSTOS!$M$35)</f>
        <v>135.47687390389061</v>
      </c>
      <c r="AB123" s="6">
        <f>$K$123*$V$123</f>
        <v>0</v>
      </c>
      <c r="AC123" s="6">
        <f>$M$123*$W$123</f>
        <v>1734.6825999999999</v>
      </c>
      <c r="AD123" s="6">
        <f>$O$123*$X$123</f>
        <v>499.89519999999999</v>
      </c>
      <c r="AE123" s="6">
        <f>$K$123*$Y$123</f>
        <v>0</v>
      </c>
      <c r="AF123" s="6">
        <f ca="1">$M$123*$Z$123</f>
        <v>2242.7223681044461</v>
      </c>
      <c r="AG123" s="6">
        <f>$O$123*$AA$123</f>
        <v>559.51948922306815</v>
      </c>
    </row>
    <row r="124" spans="1:33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30</v>
      </c>
      <c r="F124" s="4" t="s">
        <v>25</v>
      </c>
      <c r="G124" s="4" t="s">
        <v>25</v>
      </c>
      <c r="H124" s="4" t="s">
        <v>25</v>
      </c>
      <c r="I124" s="5">
        <v>44317</v>
      </c>
      <c r="J124" s="6">
        <v>0</v>
      </c>
      <c r="K124" s="6">
        <v>0</v>
      </c>
      <c r="L124" s="6">
        <v>4.41</v>
      </c>
      <c r="M124" s="6">
        <v>4.41</v>
      </c>
      <c r="N124" s="6">
        <v>4.41</v>
      </c>
      <c r="O124" s="6">
        <v>4.41</v>
      </c>
      <c r="P124" s="6">
        <v>14</v>
      </c>
      <c r="Q124" s="4" t="s">
        <v>26</v>
      </c>
      <c r="R124" s="4">
        <v>0</v>
      </c>
      <c r="S124" s="6">
        <v>0</v>
      </c>
      <c r="T124" s="6">
        <v>45</v>
      </c>
      <c r="U124" s="6">
        <v>33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420.02</v>
      </c>
      <c r="X124" s="6">
        <f>IF(ISERROR(VLOOKUP($U$124,'TAR FIN'!$A$1:$O$85,15,0)),0,VLOOKUP($U$124,'TAR FIN'!$A$1:$O$85,15,0))</f>
        <v>121.04</v>
      </c>
      <c r="Y124" s="6"/>
      <c r="Z124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4" s="6">
        <f>('TE BE'!$AA$12+'TE BF'!$AA$12+'TE CVA'!$AA$12)*(1-CUSTOS!$M$35)</f>
        <v>135.47687390389061</v>
      </c>
      <c r="AB124" s="6">
        <f>$K$124*$V$124</f>
        <v>0</v>
      </c>
      <c r="AC124" s="6">
        <f>$M$124*$W$124</f>
        <v>1852.2882</v>
      </c>
      <c r="AD124" s="6">
        <f>$O$124*$X$124</f>
        <v>533.78640000000007</v>
      </c>
      <c r="AE124" s="6">
        <f>$K$124*$Y$124</f>
        <v>0</v>
      </c>
      <c r="AF124" s="6">
        <f ca="1">$M$124*$Z$124</f>
        <v>2394.7713422132224</v>
      </c>
      <c r="AG124" s="6">
        <f>$O$124*$AA$124</f>
        <v>597.4530139161576</v>
      </c>
    </row>
    <row r="125" spans="1:33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30</v>
      </c>
      <c r="F125" s="4" t="s">
        <v>25</v>
      </c>
      <c r="G125" s="4" t="s">
        <v>25</v>
      </c>
      <c r="H125" s="4" t="s">
        <v>25</v>
      </c>
      <c r="I125" s="5">
        <v>44348</v>
      </c>
      <c r="J125" s="6">
        <v>0</v>
      </c>
      <c r="K125" s="6">
        <v>0</v>
      </c>
      <c r="L125" s="6">
        <v>4.6740000000000004</v>
      </c>
      <c r="M125" s="6">
        <v>4.6740000000000004</v>
      </c>
      <c r="N125" s="6">
        <v>4.6740000000000004</v>
      </c>
      <c r="O125" s="6">
        <v>4.6740000000000004</v>
      </c>
      <c r="P125" s="6">
        <v>13</v>
      </c>
      <c r="Q125" s="4" t="s">
        <v>26</v>
      </c>
      <c r="R125" s="4">
        <v>0</v>
      </c>
      <c r="S125" s="6">
        <v>0</v>
      </c>
      <c r="T125" s="6">
        <v>45</v>
      </c>
      <c r="U125" s="6">
        <v>33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420.02</v>
      </c>
      <c r="X125" s="6">
        <f>IF(ISERROR(VLOOKUP($U$125,'TAR FIN'!$A$1:$O$85,15,0)),0,VLOOKUP($U$125,'TAR FIN'!$A$1:$O$85,15,0))</f>
        <v>121.04</v>
      </c>
      <c r="Y125" s="6"/>
      <c r="Z125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5" s="6">
        <f>('TE BE'!$AA$12+'TE BF'!$AA$12+'TE CVA'!$AA$12)*(1-CUSTOS!$M$35)</f>
        <v>135.47687390389061</v>
      </c>
      <c r="AB125" s="6">
        <f>$K$125*$V$125</f>
        <v>0</v>
      </c>
      <c r="AC125" s="6">
        <f>$M$125*$W$125</f>
        <v>1963.1734800000002</v>
      </c>
      <c r="AD125" s="6">
        <f>$O$125*$X$125</f>
        <v>565.74096000000009</v>
      </c>
      <c r="AE125" s="6">
        <f>$K$125*$Y$125</f>
        <v>0</v>
      </c>
      <c r="AF125" s="6">
        <f ca="1">$M$125*$Z$125</f>
        <v>2538.1318035157828</v>
      </c>
      <c r="AG125" s="6">
        <f>$O$125*$AA$125</f>
        <v>633.2189086267847</v>
      </c>
    </row>
    <row r="126" spans="1:33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30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0</v>
      </c>
      <c r="K126" s="6">
        <v>0</v>
      </c>
      <c r="L126" s="6">
        <v>4.6449999999999996</v>
      </c>
      <c r="M126" s="6">
        <v>4.6449999999999996</v>
      </c>
      <c r="N126" s="6">
        <v>4.6449999999999996</v>
      </c>
      <c r="O126" s="6">
        <v>4.6449999999999996</v>
      </c>
      <c r="P126" s="6">
        <v>16</v>
      </c>
      <c r="Q126" s="4" t="s">
        <v>26</v>
      </c>
      <c r="R126" s="4">
        <v>0</v>
      </c>
      <c r="S126" s="6">
        <v>0</v>
      </c>
      <c r="T126" s="6">
        <v>45</v>
      </c>
      <c r="U126" s="6">
        <v>33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420.02</v>
      </c>
      <c r="X126" s="6">
        <f>IF(ISERROR(VLOOKUP($U$126,'TAR FIN'!$A$1:$O$85,15,0)),0,VLOOKUP($U$126,'TAR FIN'!$A$1:$O$85,15,0))</f>
        <v>121.04</v>
      </c>
      <c r="Y126" s="6"/>
      <c r="Z126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6" s="6">
        <f>('TE BE'!$AA$12+'TE BF'!$AA$12+'TE CVA'!$AA$12)*(1-CUSTOS!$M$35)</f>
        <v>135.47687390389061</v>
      </c>
      <c r="AB126" s="6">
        <f>$K$126*$V$126</f>
        <v>0</v>
      </c>
      <c r="AC126" s="6">
        <f>$M$126*$W$126</f>
        <v>1950.9928999999997</v>
      </c>
      <c r="AD126" s="6">
        <f>$O$126*$X$126</f>
        <v>562.23079999999993</v>
      </c>
      <c r="AE126" s="6">
        <f>$K$126*$Y$126</f>
        <v>0</v>
      </c>
      <c r="AF126" s="6">
        <f ca="1">$M$126*$Z$126</f>
        <v>2522.3838740545161</v>
      </c>
      <c r="AG126" s="6">
        <f>$O$126*$AA$126</f>
        <v>629.2900792835718</v>
      </c>
    </row>
    <row r="127" spans="1:33" ht="11.25" customHeight="1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30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0</v>
      </c>
      <c r="K127" s="6">
        <v>0</v>
      </c>
      <c r="L127" s="6">
        <v>4.83</v>
      </c>
      <c r="M127" s="6">
        <v>4.83</v>
      </c>
      <c r="N127" s="6">
        <v>4.83</v>
      </c>
      <c r="O127" s="6">
        <v>4.83</v>
      </c>
      <c r="P127" s="6">
        <v>17</v>
      </c>
      <c r="Q127" s="4" t="s">
        <v>26</v>
      </c>
      <c r="R127" s="4">
        <v>0</v>
      </c>
      <c r="S127" s="6">
        <v>0</v>
      </c>
      <c r="T127" s="6">
        <v>45</v>
      </c>
      <c r="U127" s="6">
        <v>33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420.02</v>
      </c>
      <c r="X127" s="6">
        <f>IF(ISERROR(VLOOKUP($U$127,'TAR FIN'!$A$1:$O$85,15,0)),0,VLOOKUP($U$127,'TAR FIN'!$A$1:$O$85,15,0))</f>
        <v>121.04</v>
      </c>
      <c r="Y127" s="6"/>
      <c r="Z127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7" s="6">
        <f>('TE BE'!$AA$12+'TE BF'!$AA$12+'TE CVA'!$AA$12)*(1-CUSTOS!$M$35)</f>
        <v>135.47687390389061</v>
      </c>
      <c r="AB127" s="6">
        <f>$K$127*$V$127</f>
        <v>0</v>
      </c>
      <c r="AC127" s="6">
        <f>$M$127*$W$127</f>
        <v>2028.6966</v>
      </c>
      <c r="AD127" s="6">
        <f>$O$127*$X$127</f>
        <v>584.6232</v>
      </c>
      <c r="AE127" s="6">
        <f>$K$127*$Y$127</f>
        <v>0</v>
      </c>
      <c r="AF127" s="6">
        <f ca="1">$M$127*$Z$127</f>
        <v>2622.8448033763866</v>
      </c>
      <c r="AG127" s="6">
        <f>$O$127*$AA$127</f>
        <v>654.35330095579161</v>
      </c>
    </row>
    <row r="128" spans="1:33" ht="11.25" customHeight="1" x14ac:dyDescent="0.3">
      <c r="A128" s="4" t="s">
        <v>27</v>
      </c>
      <c r="B128" s="4" t="s">
        <v>22</v>
      </c>
      <c r="C128" s="4" t="s">
        <v>23</v>
      </c>
      <c r="D128" s="4" t="s">
        <v>24</v>
      </c>
      <c r="E128" s="4" t="s">
        <v>30</v>
      </c>
      <c r="F128" s="4" t="s">
        <v>25</v>
      </c>
      <c r="G128" s="4" t="s">
        <v>25</v>
      </c>
      <c r="H128" s="4" t="s">
        <v>25</v>
      </c>
      <c r="I128" s="5">
        <v>44409</v>
      </c>
      <c r="J128" s="6">
        <v>0</v>
      </c>
      <c r="K128" s="6">
        <v>0</v>
      </c>
      <c r="L128" s="6">
        <v>-0.03</v>
      </c>
      <c r="M128" s="6">
        <v>-0.03</v>
      </c>
      <c r="N128" s="6">
        <v>-0.03</v>
      </c>
      <c r="O128" s="6">
        <v>-0.03</v>
      </c>
      <c r="P128" s="6">
        <v>0</v>
      </c>
      <c r="Q128" s="4" t="s">
        <v>26</v>
      </c>
      <c r="R128" s="4">
        <v>0</v>
      </c>
      <c r="S128" s="6">
        <v>0</v>
      </c>
      <c r="T128" s="6">
        <v>45</v>
      </c>
      <c r="U128" s="6">
        <v>33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420.02</v>
      </c>
      <c r="X128" s="6">
        <f>IF(ISERROR(VLOOKUP($U$128,'TAR FIN'!$A$1:$O$85,15,0)),0,VLOOKUP($U$128,'TAR FIN'!$A$1:$O$85,15,0))</f>
        <v>121.04</v>
      </c>
      <c r="Y128" s="6"/>
      <c r="Z128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8" s="6">
        <f>('TE BE'!$AA$12+'TE BF'!$AA$12+'TE CVA'!$AA$12)*(1-CUSTOS!$M$35)</f>
        <v>135.47687390389061</v>
      </c>
      <c r="AB128" s="6">
        <f>$K$128*$V$128</f>
        <v>0</v>
      </c>
      <c r="AC128" s="6">
        <f>$M$128*$W$128</f>
        <v>-12.600599999999998</v>
      </c>
      <c r="AD128" s="6">
        <f>$O$128*$X$128</f>
        <v>-3.6312000000000002</v>
      </c>
      <c r="AE128" s="6">
        <f>$K$128*$Y$128</f>
        <v>0</v>
      </c>
      <c r="AF128" s="6">
        <f ca="1">$M$128*$Z$128</f>
        <v>-16.290961511654572</v>
      </c>
      <c r="AG128" s="6">
        <f>$O$128*$AA$128</f>
        <v>-4.0643062171167177</v>
      </c>
    </row>
    <row r="129" spans="1:33" ht="11.25" customHeight="1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30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0</v>
      </c>
      <c r="K129" s="6">
        <v>0</v>
      </c>
      <c r="L129" s="6">
        <v>5.1890000000000001</v>
      </c>
      <c r="M129" s="6">
        <v>5.1890000000000001</v>
      </c>
      <c r="N129" s="6">
        <v>5.1890000000000001</v>
      </c>
      <c r="O129" s="6">
        <v>5.1890000000000001</v>
      </c>
      <c r="P129" s="6">
        <v>14</v>
      </c>
      <c r="Q129" s="4" t="s">
        <v>26</v>
      </c>
      <c r="R129" s="4">
        <v>0</v>
      </c>
      <c r="S129" s="6">
        <v>0</v>
      </c>
      <c r="T129" s="6">
        <v>45</v>
      </c>
      <c r="U129" s="6">
        <v>33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420.02</v>
      </c>
      <c r="X129" s="6">
        <f>IF(ISERROR(VLOOKUP($U$129,'TAR FIN'!$A$1:$O$85,15,0)),0,VLOOKUP($U$129,'TAR FIN'!$A$1:$O$85,15,0))</f>
        <v>121.04</v>
      </c>
      <c r="Y129" s="6"/>
      <c r="Z129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29" s="6">
        <f>('TE BE'!$AA$12+'TE BF'!$AA$12+'TE CVA'!$AA$12)*(1-CUSTOS!$M$35)</f>
        <v>135.47687390389061</v>
      </c>
      <c r="AB129" s="6">
        <f>$K$129*$V$129</f>
        <v>0</v>
      </c>
      <c r="AC129" s="6">
        <f>$M$129*$W$129</f>
        <v>2179.48378</v>
      </c>
      <c r="AD129" s="6">
        <f>$O$129*$X$129</f>
        <v>628.07656000000009</v>
      </c>
      <c r="AE129" s="6">
        <f>$K$129*$Y$129</f>
        <v>0</v>
      </c>
      <c r="AF129" s="6">
        <f ca="1">$M$129*$Z$129</f>
        <v>2817.7933094658529</v>
      </c>
      <c r="AG129" s="6">
        <f>$O$129*$AA$129</f>
        <v>702.98949868728835</v>
      </c>
    </row>
    <row r="130" spans="1:33" ht="11.25" customHeight="1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30</v>
      </c>
      <c r="F130" s="4" t="s">
        <v>25</v>
      </c>
      <c r="G130" s="4" t="s">
        <v>25</v>
      </c>
      <c r="H130" s="4" t="s">
        <v>25</v>
      </c>
      <c r="I130" s="5">
        <v>44470</v>
      </c>
      <c r="J130" s="6">
        <v>0</v>
      </c>
      <c r="K130" s="6">
        <v>0</v>
      </c>
      <c r="L130" s="6">
        <v>5.5750000000000002</v>
      </c>
      <c r="M130" s="6">
        <v>5.5750000000000002</v>
      </c>
      <c r="N130" s="6">
        <v>5.5750000000000002</v>
      </c>
      <c r="O130" s="6">
        <v>5.5750000000000002</v>
      </c>
      <c r="P130" s="6">
        <v>12</v>
      </c>
      <c r="Q130" s="4" t="s">
        <v>26</v>
      </c>
      <c r="R130" s="4">
        <v>0</v>
      </c>
      <c r="S130" s="6">
        <v>0</v>
      </c>
      <c r="T130" s="6">
        <v>45</v>
      </c>
      <c r="U130" s="6">
        <v>33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420.02</v>
      </c>
      <c r="X130" s="6">
        <f>IF(ISERROR(VLOOKUP($U$130,'TAR FIN'!$A$1:$O$85,15,0)),0,VLOOKUP($U$130,'TAR FIN'!$A$1:$O$85,15,0))</f>
        <v>121.04</v>
      </c>
      <c r="Y130" s="6"/>
      <c r="Z130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0" s="6">
        <f>('TE BE'!$AA$12+'TE BF'!$AA$12+'TE CVA'!$AA$12)*(1-CUSTOS!$M$35)</f>
        <v>135.47687390389061</v>
      </c>
      <c r="AB130" s="6">
        <f>$K$130*$V$130</f>
        <v>0</v>
      </c>
      <c r="AC130" s="6">
        <f>$M$130*$W$130</f>
        <v>2341.6115</v>
      </c>
      <c r="AD130" s="6">
        <f>$O$130*$X$130</f>
        <v>674.798</v>
      </c>
      <c r="AE130" s="6">
        <f>$K$130*$Y$130</f>
        <v>0</v>
      </c>
      <c r="AF130" s="6">
        <f ca="1">$M$130*$Z$130</f>
        <v>3027.4036809158083</v>
      </c>
      <c r="AG130" s="6">
        <f>$O$130*$AA$130</f>
        <v>755.2835720141901</v>
      </c>
    </row>
    <row r="131" spans="1:3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30</v>
      </c>
      <c r="F131" s="4" t="s">
        <v>25</v>
      </c>
      <c r="G131" s="4" t="s">
        <v>25</v>
      </c>
      <c r="H131" s="4" t="s">
        <v>25</v>
      </c>
      <c r="I131" s="5">
        <v>44501</v>
      </c>
      <c r="J131" s="6">
        <v>0</v>
      </c>
      <c r="K131" s="6">
        <v>0</v>
      </c>
      <c r="L131" s="6">
        <v>5.9130000000000003</v>
      </c>
      <c r="M131" s="6">
        <v>5.9130000000000003</v>
      </c>
      <c r="N131" s="6">
        <v>5.9130000000000003</v>
      </c>
      <c r="O131" s="6">
        <v>5.9130000000000003</v>
      </c>
      <c r="P131" s="6">
        <v>19</v>
      </c>
      <c r="Q131" s="4" t="s">
        <v>26</v>
      </c>
      <c r="R131" s="4">
        <v>0</v>
      </c>
      <c r="S131" s="6">
        <v>0</v>
      </c>
      <c r="T131" s="6">
        <v>45</v>
      </c>
      <c r="U131" s="6">
        <v>33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420.02</v>
      </c>
      <c r="X131" s="6">
        <f>IF(ISERROR(VLOOKUP($U$131,'TAR FIN'!$A$1:$O$85,15,0)),0,VLOOKUP($U$131,'TAR FIN'!$A$1:$O$85,15,0))</f>
        <v>121.04</v>
      </c>
      <c r="Y131" s="6"/>
      <c r="Z131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1" s="6">
        <f>('TE BE'!$AA$12+'TE BF'!$AA$12+'TE CVA'!$AA$12)*(1-CUSTOS!$M$35)</f>
        <v>135.47687390389061</v>
      </c>
      <c r="AB131" s="6">
        <f>$K$131*$V$131</f>
        <v>0</v>
      </c>
      <c r="AC131" s="6">
        <f>$M$131*$W$131</f>
        <v>2483.5782599999998</v>
      </c>
      <c r="AD131" s="6">
        <f>$O$131*$X$131</f>
        <v>715.70952000000011</v>
      </c>
      <c r="AE131" s="6">
        <f>$K$131*$Y$131</f>
        <v>0</v>
      </c>
      <c r="AF131" s="6">
        <f ca="1">$M$131*$Z$131</f>
        <v>3210.9485139471167</v>
      </c>
      <c r="AG131" s="6">
        <f>$O$131*$AA$131</f>
        <v>801.07475539370523</v>
      </c>
    </row>
    <row r="132" spans="1:33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30</v>
      </c>
      <c r="F132" s="4" t="s">
        <v>25</v>
      </c>
      <c r="G132" s="4" t="s">
        <v>25</v>
      </c>
      <c r="H132" s="4" t="s">
        <v>25</v>
      </c>
      <c r="I132" s="5">
        <v>44531</v>
      </c>
      <c r="J132" s="6">
        <v>0</v>
      </c>
      <c r="K132" s="6">
        <v>0</v>
      </c>
      <c r="L132" s="6">
        <v>6.1369999999999996</v>
      </c>
      <c r="M132" s="6">
        <v>6.1369999999999996</v>
      </c>
      <c r="N132" s="6">
        <v>6.1369999999999996</v>
      </c>
      <c r="O132" s="6">
        <v>6.1369999999999996</v>
      </c>
      <c r="P132" s="6">
        <v>9</v>
      </c>
      <c r="Q132" s="4" t="s">
        <v>26</v>
      </c>
      <c r="R132" s="4">
        <v>0</v>
      </c>
      <c r="S132" s="6">
        <v>0</v>
      </c>
      <c r="T132" s="6">
        <v>45</v>
      </c>
      <c r="U132" s="6">
        <v>33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420.02</v>
      </c>
      <c r="X132" s="6">
        <f>IF(ISERROR(VLOOKUP($U$132,'TAR FIN'!$A$1:$O$85,15,0)),0,VLOOKUP($U$132,'TAR FIN'!$A$1:$O$85,15,0))</f>
        <v>121.04</v>
      </c>
      <c r="Y132" s="6"/>
      <c r="Z132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2" s="6">
        <f>('TE BE'!$AA$12+'TE BF'!$AA$12+'TE CVA'!$AA$12)*(1-CUSTOS!$M$35)</f>
        <v>135.47687390389061</v>
      </c>
      <c r="AB132" s="6">
        <f>$K$132*$V$132</f>
        <v>0</v>
      </c>
      <c r="AC132" s="6">
        <f>$M$132*$W$132</f>
        <v>2577.6627399999998</v>
      </c>
      <c r="AD132" s="6">
        <f>$O$132*$X$132</f>
        <v>742.82248000000004</v>
      </c>
      <c r="AE132" s="6">
        <f>$K$132*$Y$132</f>
        <v>0</v>
      </c>
      <c r="AF132" s="6">
        <f ca="1">$M$132*$Z$132</f>
        <v>3332.5876932341371</v>
      </c>
      <c r="AG132" s="6">
        <f>$O$132*$AA$132</f>
        <v>831.42157514817654</v>
      </c>
    </row>
    <row r="133" spans="1:33" ht="11.25" customHeight="1" x14ac:dyDescent="0.3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30</v>
      </c>
      <c r="F133" s="4" t="s">
        <v>25</v>
      </c>
      <c r="G133" s="4" t="s">
        <v>25</v>
      </c>
      <c r="H133" s="4" t="s">
        <v>25</v>
      </c>
      <c r="I133" s="5">
        <v>44531</v>
      </c>
      <c r="J133" s="6">
        <v>0</v>
      </c>
      <c r="K133" s="6">
        <v>0</v>
      </c>
      <c r="L133" s="6">
        <v>-0.01</v>
      </c>
      <c r="M133" s="6">
        <v>-0.01</v>
      </c>
      <c r="N133" s="6">
        <v>-0.01</v>
      </c>
      <c r="O133" s="6">
        <v>-0.01</v>
      </c>
      <c r="P133" s="6">
        <v>0</v>
      </c>
      <c r="Q133" s="4" t="s">
        <v>26</v>
      </c>
      <c r="R133" s="4">
        <v>0</v>
      </c>
      <c r="S133" s="6">
        <v>0</v>
      </c>
      <c r="T133" s="6">
        <v>45</v>
      </c>
      <c r="U133" s="6">
        <v>33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420.02</v>
      </c>
      <c r="X133" s="6">
        <f>IF(ISERROR(VLOOKUP($U$133,'TAR FIN'!$A$1:$O$85,15,0)),0,VLOOKUP($U$133,'TAR FIN'!$A$1:$O$85,15,0))</f>
        <v>121.04</v>
      </c>
      <c r="Y133" s="6"/>
      <c r="Z133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3" s="6">
        <f>('TE BE'!$AA$12+'TE BF'!$AA$12+'TE CVA'!$AA$12)*(1-CUSTOS!$M$35)</f>
        <v>135.47687390389061</v>
      </c>
      <c r="AB133" s="6">
        <f>$K$133*$V$133</f>
        <v>0</v>
      </c>
      <c r="AC133" s="6">
        <f>$M$133*$W$133</f>
        <v>-4.2001999999999997</v>
      </c>
      <c r="AD133" s="6">
        <f>$O$133*$X$133</f>
        <v>-1.2104000000000001</v>
      </c>
      <c r="AE133" s="6">
        <f>$K$133*$Y$133</f>
        <v>0</v>
      </c>
      <c r="AF133" s="6">
        <f ca="1">$M$133*$Z$133</f>
        <v>-5.4303205038848583</v>
      </c>
      <c r="AG133" s="6">
        <f>$O$133*$AA$133</f>
        <v>-1.354768739038906</v>
      </c>
    </row>
    <row r="134" spans="1:3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30</v>
      </c>
      <c r="F134" s="4" t="s">
        <v>25</v>
      </c>
      <c r="G134" s="4" t="s">
        <v>25</v>
      </c>
      <c r="H134" s="4" t="s">
        <v>25</v>
      </c>
      <c r="I134" s="5">
        <v>44562</v>
      </c>
      <c r="J134" s="6">
        <v>0</v>
      </c>
      <c r="K134" s="6">
        <v>0</v>
      </c>
      <c r="L134" s="6">
        <v>6.6760000000000002</v>
      </c>
      <c r="M134" s="6">
        <v>6.6760000000000002</v>
      </c>
      <c r="N134" s="6">
        <v>6.6760000000000002</v>
      </c>
      <c r="O134" s="6">
        <v>6.6760000000000002</v>
      </c>
      <c r="P134" s="6">
        <v>10</v>
      </c>
      <c r="Q134" s="4" t="s">
        <v>26</v>
      </c>
      <c r="R134" s="4">
        <v>0</v>
      </c>
      <c r="S134" s="6">
        <v>0</v>
      </c>
      <c r="T134" s="6">
        <v>45</v>
      </c>
      <c r="U134" s="6">
        <v>33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420.02</v>
      </c>
      <c r="X134" s="6">
        <f>IF(ISERROR(VLOOKUP($U$134,'TAR FIN'!$A$1:$O$85,15,0)),0,VLOOKUP($U$134,'TAR FIN'!$A$1:$O$85,15,0))</f>
        <v>121.04</v>
      </c>
      <c r="Y134" s="6"/>
      <c r="Z134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4" s="6">
        <f>('TE BE'!$AA$12+'TE BF'!$AA$12+'TE CVA'!$AA$12)*(1-CUSTOS!$M$35)</f>
        <v>135.47687390389061</v>
      </c>
      <c r="AB134" s="6">
        <f>$K$134*$V$134</f>
        <v>0</v>
      </c>
      <c r="AC134" s="6">
        <f>$M$134*$W$134</f>
        <v>2804.0535199999999</v>
      </c>
      <c r="AD134" s="6">
        <f>$O$134*$X$134</f>
        <v>808.06304000000011</v>
      </c>
      <c r="AE134" s="6">
        <f>$K$134*$Y$134</f>
        <v>0</v>
      </c>
      <c r="AF134" s="6">
        <f ca="1">$M$134*$Z$134</f>
        <v>3625.2819683935313</v>
      </c>
      <c r="AG134" s="6">
        <f>$O$134*$AA$134</f>
        <v>904.44361018237373</v>
      </c>
    </row>
    <row r="135" spans="1:33" ht="11.25" customHeight="1" x14ac:dyDescent="0.3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30</v>
      </c>
      <c r="F135" s="4" t="s">
        <v>25</v>
      </c>
      <c r="G135" s="4" t="s">
        <v>25</v>
      </c>
      <c r="H135" s="4" t="s">
        <v>25</v>
      </c>
      <c r="I135" s="5">
        <v>44593</v>
      </c>
      <c r="J135" s="6">
        <v>0</v>
      </c>
      <c r="K135" s="6">
        <v>0</v>
      </c>
      <c r="L135" s="6">
        <v>7.4710000000000001</v>
      </c>
      <c r="M135" s="6">
        <v>7.4710000000000001</v>
      </c>
      <c r="N135" s="6">
        <v>7.4710000000000001</v>
      </c>
      <c r="O135" s="6">
        <v>7.4710000000000001</v>
      </c>
      <c r="P135" s="6">
        <v>13</v>
      </c>
      <c r="Q135" s="4" t="s">
        <v>26</v>
      </c>
      <c r="R135" s="4">
        <v>0</v>
      </c>
      <c r="S135" s="6">
        <v>0</v>
      </c>
      <c r="T135" s="6">
        <v>45</v>
      </c>
      <c r="U135" s="6">
        <v>33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420.02</v>
      </c>
      <c r="X135" s="6">
        <f>IF(ISERROR(VLOOKUP($U$135,'TAR FIN'!$A$1:$O$85,15,0)),0,VLOOKUP($U$135,'TAR FIN'!$A$1:$O$85,15,0))</f>
        <v>121.04</v>
      </c>
      <c r="Y135" s="6"/>
      <c r="Z135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5" s="6">
        <f>('TE BE'!$AA$12+'TE BF'!$AA$12+'TE CVA'!$AA$12)*(1-CUSTOS!$M$35)</f>
        <v>135.47687390389061</v>
      </c>
      <c r="AB135" s="6">
        <f>$K$135*$V$135</f>
        <v>0</v>
      </c>
      <c r="AC135" s="6">
        <f>$M$135*$W$135</f>
        <v>3137.9694199999999</v>
      </c>
      <c r="AD135" s="6">
        <f>$O$135*$X$135</f>
        <v>904.28984000000003</v>
      </c>
      <c r="AE135" s="6">
        <f>$K$135*$Y$135</f>
        <v>0</v>
      </c>
      <c r="AF135" s="6">
        <f ca="1">$M$135*$Z$135</f>
        <v>4056.9924484523776</v>
      </c>
      <c r="AG135" s="6">
        <f>$O$135*$AA$135</f>
        <v>1012.1477249359667</v>
      </c>
    </row>
    <row r="136" spans="1:3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30</v>
      </c>
      <c r="F136" s="4" t="s">
        <v>25</v>
      </c>
      <c r="G136" s="4" t="s">
        <v>25</v>
      </c>
      <c r="H136" s="4" t="s">
        <v>25</v>
      </c>
      <c r="I136" s="5">
        <v>44621</v>
      </c>
      <c r="J136" s="6">
        <v>0</v>
      </c>
      <c r="K136" s="6">
        <v>0</v>
      </c>
      <c r="L136" s="6">
        <v>15.465</v>
      </c>
      <c r="M136" s="6">
        <v>15.465</v>
      </c>
      <c r="N136" s="6">
        <v>15.465</v>
      </c>
      <c r="O136" s="6">
        <v>15.465</v>
      </c>
      <c r="P136" s="6">
        <v>53</v>
      </c>
      <c r="Q136" s="4" t="s">
        <v>26</v>
      </c>
      <c r="R136" s="4">
        <v>0</v>
      </c>
      <c r="S136" s="6">
        <v>0</v>
      </c>
      <c r="T136" s="6">
        <v>45</v>
      </c>
      <c r="U136" s="6">
        <v>33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420.02</v>
      </c>
      <c r="X136" s="6">
        <f>IF(ISERROR(VLOOKUP($U$136,'TAR FIN'!$A$1:$O$85,15,0)),0,VLOOKUP($U$136,'TAR FIN'!$A$1:$O$85,15,0))</f>
        <v>121.04</v>
      </c>
      <c r="Y136" s="6"/>
      <c r="Z136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136" s="6">
        <f>('TE BE'!$AA$12+'TE BF'!$AA$12+'TE CVA'!$AA$12)*(1-CUSTOS!$M$35)</f>
        <v>135.47687390389061</v>
      </c>
      <c r="AB136" s="6">
        <f>$K$136*$V$136</f>
        <v>0</v>
      </c>
      <c r="AC136" s="6">
        <f>$M$136*$W$136</f>
        <v>6495.6093000000001</v>
      </c>
      <c r="AD136" s="6">
        <f>$O$136*$X$136</f>
        <v>1871.8836000000001</v>
      </c>
      <c r="AE136" s="6">
        <f>$K$136*$Y$136</f>
        <v>0</v>
      </c>
      <c r="AF136" s="6">
        <f ca="1">$M$136*$Z$136</f>
        <v>8397.9906592579337</v>
      </c>
      <c r="AG136" s="6">
        <f>$O$136*$AA$136</f>
        <v>2095.149854923668</v>
      </c>
    </row>
    <row r="137" spans="1:3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31</v>
      </c>
      <c r="F137" s="4" t="s">
        <v>25</v>
      </c>
      <c r="G137" s="4" t="s">
        <v>25</v>
      </c>
      <c r="H137" s="4" t="s">
        <v>25</v>
      </c>
      <c r="I137" s="5">
        <v>44287</v>
      </c>
      <c r="J137" s="6">
        <v>0</v>
      </c>
      <c r="K137" s="6">
        <v>0</v>
      </c>
      <c r="L137" s="6">
        <v>3.9220000000000002</v>
      </c>
      <c r="M137" s="6">
        <v>3.9220000000000002</v>
      </c>
      <c r="N137" s="6">
        <v>3.9220000000000002</v>
      </c>
      <c r="O137" s="6">
        <v>3.9220000000000002</v>
      </c>
      <c r="P137" s="6">
        <v>39</v>
      </c>
      <c r="Q137" s="4" t="s">
        <v>26</v>
      </c>
      <c r="R137" s="4">
        <v>0</v>
      </c>
      <c r="S137" s="6">
        <v>0</v>
      </c>
      <c r="T137" s="6">
        <v>40</v>
      </c>
      <c r="U137" s="6">
        <v>27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630.02</v>
      </c>
      <c r="X137" s="6">
        <f>IF(ISERROR(VLOOKUP($U$137,'TAR FIN'!$A$1:$O$85,15,0)),0,VLOOKUP($U$137,'TAR FIN'!$A$1:$O$85,15,0))</f>
        <v>181.56</v>
      </c>
      <c r="Y137" s="6"/>
      <c r="Z137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37" s="6">
        <f>('TE BE'!$AA$13+'TE BF'!$AA$13+'TE CVA'!$AA$13)*(1-CUSTOS!$M$36)</f>
        <v>203.21531085583592</v>
      </c>
      <c r="AB137" s="6">
        <f>$K$137*$V$137</f>
        <v>0</v>
      </c>
      <c r="AC137" s="6">
        <f>$M$137*$W$137</f>
        <v>2470.9384399999999</v>
      </c>
      <c r="AD137" s="6">
        <f>$O$137*$X$137</f>
        <v>712.07832000000008</v>
      </c>
      <c r="AE137" s="6">
        <f>$K$137*$Y$137</f>
        <v>0</v>
      </c>
      <c r="AF137" s="6">
        <f ca="1">$M$137*$Z$137</f>
        <v>3194.6575524354616</v>
      </c>
      <c r="AG137" s="6">
        <f>$O$137*$AA$137</f>
        <v>797.01044917658851</v>
      </c>
    </row>
    <row r="138" spans="1:33" ht="11.25" customHeight="1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31</v>
      </c>
      <c r="F138" s="4" t="s">
        <v>25</v>
      </c>
      <c r="G138" s="4" t="s">
        <v>25</v>
      </c>
      <c r="H138" s="4" t="s">
        <v>25</v>
      </c>
      <c r="I138" s="5">
        <v>44317</v>
      </c>
      <c r="J138" s="6">
        <v>0</v>
      </c>
      <c r="K138" s="6">
        <v>0</v>
      </c>
      <c r="L138" s="6">
        <v>3.9279999999999999</v>
      </c>
      <c r="M138" s="6">
        <v>3.9279999999999999</v>
      </c>
      <c r="N138" s="6">
        <v>3.9279999999999999</v>
      </c>
      <c r="O138" s="6">
        <v>3.9279999999999999</v>
      </c>
      <c r="P138" s="6">
        <v>44</v>
      </c>
      <c r="Q138" s="4" t="s">
        <v>26</v>
      </c>
      <c r="R138" s="4">
        <v>0</v>
      </c>
      <c r="S138" s="6">
        <v>0</v>
      </c>
      <c r="T138" s="6">
        <v>40</v>
      </c>
      <c r="U138" s="6">
        <v>27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630.02</v>
      </c>
      <c r="X138" s="6">
        <f>IF(ISERROR(VLOOKUP($U$138,'TAR FIN'!$A$1:$O$85,15,0)),0,VLOOKUP($U$138,'TAR FIN'!$A$1:$O$85,15,0))</f>
        <v>181.56</v>
      </c>
      <c r="Y138" s="6"/>
      <c r="Z138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38" s="6">
        <f>('TE BE'!$AA$13+'TE BF'!$AA$13+'TE CVA'!$AA$13)*(1-CUSTOS!$M$36)</f>
        <v>203.21531085583592</v>
      </c>
      <c r="AB138" s="6">
        <f>$K$138*$V$138</f>
        <v>0</v>
      </c>
      <c r="AC138" s="6">
        <f>$M$138*$W$138</f>
        <v>2474.7185599999998</v>
      </c>
      <c r="AD138" s="6">
        <f>$O$138*$X$138</f>
        <v>713.16768000000002</v>
      </c>
      <c r="AE138" s="6">
        <f>$K$138*$Y$138</f>
        <v>0</v>
      </c>
      <c r="AF138" s="6">
        <f ca="1">$M$138*$Z$138</f>
        <v>3199.5448408889579</v>
      </c>
      <c r="AG138" s="6">
        <f>$O$138*$AA$138</f>
        <v>798.22974104172351</v>
      </c>
    </row>
    <row r="139" spans="1:33" ht="11.25" customHeight="1" x14ac:dyDescent="0.3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31</v>
      </c>
      <c r="F139" s="4" t="s">
        <v>25</v>
      </c>
      <c r="G139" s="4" t="s">
        <v>25</v>
      </c>
      <c r="H139" s="4" t="s">
        <v>25</v>
      </c>
      <c r="I139" s="5">
        <v>44348</v>
      </c>
      <c r="J139" s="6">
        <v>0</v>
      </c>
      <c r="K139" s="6">
        <v>0</v>
      </c>
      <c r="L139" s="6">
        <v>3.9359999999999999</v>
      </c>
      <c r="M139" s="6">
        <v>3.9359999999999999</v>
      </c>
      <c r="N139" s="6">
        <v>3.9359999999999999</v>
      </c>
      <c r="O139" s="6">
        <v>3.9359999999999999</v>
      </c>
      <c r="P139" s="6">
        <v>50</v>
      </c>
      <c r="Q139" s="4" t="s">
        <v>26</v>
      </c>
      <c r="R139" s="4">
        <v>0</v>
      </c>
      <c r="S139" s="6">
        <v>0</v>
      </c>
      <c r="T139" s="6">
        <v>40</v>
      </c>
      <c r="U139" s="6">
        <v>27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630.02</v>
      </c>
      <c r="X139" s="6">
        <f>IF(ISERROR(VLOOKUP($U$139,'TAR FIN'!$A$1:$O$85,15,0)),0,VLOOKUP($U$139,'TAR FIN'!$A$1:$O$85,15,0))</f>
        <v>181.56</v>
      </c>
      <c r="Y139" s="6"/>
      <c r="Z139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39" s="6">
        <f>('TE BE'!$AA$13+'TE BF'!$AA$13+'TE CVA'!$AA$13)*(1-CUSTOS!$M$36)</f>
        <v>203.21531085583592</v>
      </c>
      <c r="AB139" s="6">
        <f>$K$139*$V$139</f>
        <v>0</v>
      </c>
      <c r="AC139" s="6">
        <f>$M$139*$W$139</f>
        <v>2479.7587199999998</v>
      </c>
      <c r="AD139" s="6">
        <f>$O$139*$X$139</f>
        <v>714.62016000000006</v>
      </c>
      <c r="AE139" s="6">
        <f>$K$139*$Y$139</f>
        <v>0</v>
      </c>
      <c r="AF139" s="6">
        <f ca="1">$M$139*$Z$139</f>
        <v>3206.06122549362</v>
      </c>
      <c r="AG139" s="6">
        <f>$O$139*$AA$139</f>
        <v>799.85546352857023</v>
      </c>
    </row>
    <row r="140" spans="1:3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31</v>
      </c>
      <c r="F140" s="4" t="s">
        <v>25</v>
      </c>
      <c r="G140" s="4" t="s">
        <v>25</v>
      </c>
      <c r="H140" s="4" t="s">
        <v>25</v>
      </c>
      <c r="I140" s="5">
        <v>44378</v>
      </c>
      <c r="J140" s="6">
        <v>0</v>
      </c>
      <c r="K140" s="6">
        <v>0</v>
      </c>
      <c r="L140" s="6">
        <v>3.504</v>
      </c>
      <c r="M140" s="6">
        <v>3.504</v>
      </c>
      <c r="N140" s="6">
        <v>3.504</v>
      </c>
      <c r="O140" s="6">
        <v>3.504</v>
      </c>
      <c r="P140" s="6">
        <v>45</v>
      </c>
      <c r="Q140" s="4" t="s">
        <v>26</v>
      </c>
      <c r="R140" s="4">
        <v>0</v>
      </c>
      <c r="S140" s="6">
        <v>0</v>
      </c>
      <c r="T140" s="6">
        <v>40</v>
      </c>
      <c r="U140" s="6">
        <v>27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630.02</v>
      </c>
      <c r="X140" s="6">
        <f>IF(ISERROR(VLOOKUP($U$140,'TAR FIN'!$A$1:$O$85,15,0)),0,VLOOKUP($U$140,'TAR FIN'!$A$1:$O$85,15,0))</f>
        <v>181.56</v>
      </c>
      <c r="Y140" s="6"/>
      <c r="Z140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0" s="6">
        <f>('TE BE'!$AA$13+'TE BF'!$AA$13+'TE CVA'!$AA$13)*(1-CUSTOS!$M$36)</f>
        <v>203.21531085583592</v>
      </c>
      <c r="AB140" s="6">
        <f>$K$140*$V$140</f>
        <v>0</v>
      </c>
      <c r="AC140" s="6">
        <f>$M$140*$W$140</f>
        <v>2207.5900799999999</v>
      </c>
      <c r="AD140" s="6">
        <f>$O$140*$X$140</f>
        <v>636.18624</v>
      </c>
      <c r="AE140" s="6">
        <f>$K$140*$Y$140</f>
        <v>0</v>
      </c>
      <c r="AF140" s="6">
        <f ca="1">$M$140*$Z$140</f>
        <v>2854.1764568418812</v>
      </c>
      <c r="AG140" s="6">
        <f>$O$140*$AA$140</f>
        <v>712.06644923884903</v>
      </c>
    </row>
    <row r="141" spans="1:3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31</v>
      </c>
      <c r="F141" s="4" t="s">
        <v>25</v>
      </c>
      <c r="G141" s="4" t="s">
        <v>25</v>
      </c>
      <c r="H141" s="4" t="s">
        <v>25</v>
      </c>
      <c r="I141" s="5">
        <v>44409</v>
      </c>
      <c r="J141" s="6">
        <v>0</v>
      </c>
      <c r="K141" s="6">
        <v>0</v>
      </c>
      <c r="L141" s="6">
        <v>3.944</v>
      </c>
      <c r="M141" s="6">
        <v>3.944</v>
      </c>
      <c r="N141" s="6">
        <v>3.944</v>
      </c>
      <c r="O141" s="6">
        <v>3.944</v>
      </c>
      <c r="P141" s="6">
        <v>45</v>
      </c>
      <c r="Q141" s="4" t="s">
        <v>26</v>
      </c>
      <c r="R141" s="4">
        <v>0</v>
      </c>
      <c r="S141" s="6">
        <v>0</v>
      </c>
      <c r="T141" s="6">
        <v>40</v>
      </c>
      <c r="U141" s="6">
        <v>27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630.02</v>
      </c>
      <c r="X141" s="6">
        <f>IF(ISERROR(VLOOKUP($U$141,'TAR FIN'!$A$1:$O$85,15,0)),0,VLOOKUP($U$141,'TAR FIN'!$A$1:$O$85,15,0))</f>
        <v>181.56</v>
      </c>
      <c r="Y141" s="6"/>
      <c r="Z141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1" s="6">
        <f>('TE BE'!$AA$13+'TE BF'!$AA$13+'TE CVA'!$AA$13)*(1-CUSTOS!$M$36)</f>
        <v>203.21531085583592</v>
      </c>
      <c r="AB141" s="6">
        <f>$K$141*$V$141</f>
        <v>0</v>
      </c>
      <c r="AC141" s="6">
        <f>$M$141*$W$141</f>
        <v>2484.7988799999998</v>
      </c>
      <c r="AD141" s="6">
        <f>$O$141*$X$141</f>
        <v>716.07263999999998</v>
      </c>
      <c r="AE141" s="6">
        <f>$K$141*$Y$141</f>
        <v>0</v>
      </c>
      <c r="AF141" s="6">
        <f ca="1">$M$141*$Z$141</f>
        <v>3212.5776100982816</v>
      </c>
      <c r="AG141" s="6">
        <f>$O$141*$AA$141</f>
        <v>801.48118601541682</v>
      </c>
    </row>
    <row r="142" spans="1:33" ht="11.25" customHeight="1" x14ac:dyDescent="0.3">
      <c r="A142" s="4" t="s">
        <v>27</v>
      </c>
      <c r="B142" s="4" t="s">
        <v>22</v>
      </c>
      <c r="C142" s="4" t="s">
        <v>23</v>
      </c>
      <c r="D142" s="4" t="s">
        <v>24</v>
      </c>
      <c r="E142" s="4" t="s">
        <v>31</v>
      </c>
      <c r="F142" s="4" t="s">
        <v>25</v>
      </c>
      <c r="G142" s="4" t="s">
        <v>25</v>
      </c>
      <c r="H142" s="4" t="s">
        <v>25</v>
      </c>
      <c r="I142" s="5">
        <v>44409</v>
      </c>
      <c r="J142" s="6">
        <v>0</v>
      </c>
      <c r="K142" s="6">
        <v>0</v>
      </c>
      <c r="L142" s="6">
        <v>-4.1000000000000002E-2</v>
      </c>
      <c r="M142" s="6">
        <v>-4.1000000000000002E-2</v>
      </c>
      <c r="N142" s="6">
        <v>-4.1000000000000002E-2</v>
      </c>
      <c r="O142" s="6">
        <v>-4.1000000000000002E-2</v>
      </c>
      <c r="P142" s="6">
        <v>0</v>
      </c>
      <c r="Q142" s="4" t="s">
        <v>26</v>
      </c>
      <c r="R142" s="4">
        <v>0</v>
      </c>
      <c r="S142" s="6">
        <v>0</v>
      </c>
      <c r="T142" s="6">
        <v>40</v>
      </c>
      <c r="U142" s="6">
        <v>27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630.02</v>
      </c>
      <c r="X142" s="6">
        <f>IF(ISERROR(VLOOKUP($U$142,'TAR FIN'!$A$1:$O$85,15,0)),0,VLOOKUP($U$142,'TAR FIN'!$A$1:$O$85,15,0))</f>
        <v>181.56</v>
      </c>
      <c r="Y142" s="6"/>
      <c r="Z142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2" s="6">
        <f>('TE BE'!$AA$13+'TE BF'!$AA$13+'TE CVA'!$AA$13)*(1-CUSTOS!$M$36)</f>
        <v>203.21531085583592</v>
      </c>
      <c r="AB142" s="6">
        <f>$K$142*$V$142</f>
        <v>0</v>
      </c>
      <c r="AC142" s="6">
        <f>$M$142*$W$142</f>
        <v>-25.830819999999999</v>
      </c>
      <c r="AD142" s="6">
        <f>$O$142*$X$142</f>
        <v>-7.4439600000000006</v>
      </c>
      <c r="AE142" s="6">
        <f>$K$142*$Y$142</f>
        <v>0</v>
      </c>
      <c r="AF142" s="6">
        <f ca="1">$M$142*$Z$142</f>
        <v>-33.396471098891872</v>
      </c>
      <c r="AG142" s="6">
        <f>$O$142*$AA$142</f>
        <v>-8.3318277450892726</v>
      </c>
    </row>
    <row r="143" spans="1:3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31</v>
      </c>
      <c r="F143" s="4" t="s">
        <v>25</v>
      </c>
      <c r="G143" s="4" t="s">
        <v>25</v>
      </c>
      <c r="H143" s="4" t="s">
        <v>25</v>
      </c>
      <c r="I143" s="5">
        <v>44440</v>
      </c>
      <c r="J143" s="6">
        <v>0</v>
      </c>
      <c r="K143" s="6">
        <v>0</v>
      </c>
      <c r="L143" s="6">
        <v>4.8330000000000002</v>
      </c>
      <c r="M143" s="6">
        <v>4.8330000000000002</v>
      </c>
      <c r="N143" s="6">
        <v>4.8330000000000002</v>
      </c>
      <c r="O143" s="6">
        <v>4.8330000000000002</v>
      </c>
      <c r="P143" s="6">
        <v>44</v>
      </c>
      <c r="Q143" s="4" t="s">
        <v>26</v>
      </c>
      <c r="R143" s="4">
        <v>0</v>
      </c>
      <c r="S143" s="6">
        <v>0</v>
      </c>
      <c r="T143" s="6">
        <v>40</v>
      </c>
      <c r="U143" s="6">
        <v>27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630.02</v>
      </c>
      <c r="X143" s="6">
        <f>IF(ISERROR(VLOOKUP($U$143,'TAR FIN'!$A$1:$O$85,15,0)),0,VLOOKUP($U$143,'TAR FIN'!$A$1:$O$85,15,0))</f>
        <v>181.56</v>
      </c>
      <c r="Y143" s="6"/>
      <c r="Z143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3" s="6">
        <f>('TE BE'!$AA$13+'TE BF'!$AA$13+'TE CVA'!$AA$13)*(1-CUSTOS!$M$36)</f>
        <v>203.21531085583592</v>
      </c>
      <c r="AB143" s="6">
        <f>$K$143*$V$143</f>
        <v>0</v>
      </c>
      <c r="AC143" s="6">
        <f>$M$143*$W$143</f>
        <v>3044.8866600000001</v>
      </c>
      <c r="AD143" s="6">
        <f>$O$143*$X$143</f>
        <v>877.47948000000008</v>
      </c>
      <c r="AE143" s="6">
        <f>$K$143*$Y$143</f>
        <v>0</v>
      </c>
      <c r="AF143" s="6">
        <f ca="1">$M$143*$Z$143</f>
        <v>3936.7108492913276</v>
      </c>
      <c r="AG143" s="6">
        <f>$O$143*$AA$143</f>
        <v>982.13959736625509</v>
      </c>
    </row>
    <row r="144" spans="1:3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31</v>
      </c>
      <c r="F144" s="4" t="s">
        <v>25</v>
      </c>
      <c r="G144" s="4" t="s">
        <v>25</v>
      </c>
      <c r="H144" s="4" t="s">
        <v>25</v>
      </c>
      <c r="I144" s="5">
        <v>44470</v>
      </c>
      <c r="J144" s="6">
        <v>0</v>
      </c>
      <c r="K144" s="6">
        <v>0</v>
      </c>
      <c r="L144" s="6">
        <v>4.8239999999999998</v>
      </c>
      <c r="M144" s="6">
        <v>4.8239999999999998</v>
      </c>
      <c r="N144" s="6">
        <v>4.8239999999999998</v>
      </c>
      <c r="O144" s="6">
        <v>4.8239999999999998</v>
      </c>
      <c r="P144" s="6">
        <v>55</v>
      </c>
      <c r="Q144" s="4" t="s">
        <v>26</v>
      </c>
      <c r="R144" s="4">
        <v>0</v>
      </c>
      <c r="S144" s="6">
        <v>0</v>
      </c>
      <c r="T144" s="6">
        <v>40</v>
      </c>
      <c r="U144" s="6">
        <v>27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630.02</v>
      </c>
      <c r="X144" s="6">
        <f>IF(ISERROR(VLOOKUP($U$144,'TAR FIN'!$A$1:$O$85,15,0)),0,VLOOKUP($U$144,'TAR FIN'!$A$1:$O$85,15,0))</f>
        <v>181.56</v>
      </c>
      <c r="Y144" s="6"/>
      <c r="Z144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4" s="6">
        <f>('TE BE'!$AA$13+'TE BF'!$AA$13+'TE CVA'!$AA$13)*(1-CUSTOS!$M$36)</f>
        <v>203.21531085583592</v>
      </c>
      <c r="AB144" s="6">
        <f>$K$144*$V$144</f>
        <v>0</v>
      </c>
      <c r="AC144" s="6">
        <f>$M$144*$W$144</f>
        <v>3039.2164799999996</v>
      </c>
      <c r="AD144" s="6">
        <f>$O$144*$X$144</f>
        <v>875.84543999999994</v>
      </c>
      <c r="AE144" s="6">
        <f>$K$144*$Y$144</f>
        <v>0</v>
      </c>
      <c r="AF144" s="6">
        <f ca="1">$M$144*$Z$144</f>
        <v>3929.379916611083</v>
      </c>
      <c r="AG144" s="6">
        <f>$O$144*$AA$144</f>
        <v>980.31065956855241</v>
      </c>
    </row>
    <row r="145" spans="1:3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31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0</v>
      </c>
      <c r="K145" s="6">
        <v>0</v>
      </c>
      <c r="L145" s="6">
        <v>4.6840000000000002</v>
      </c>
      <c r="M145" s="6">
        <v>4.6840000000000002</v>
      </c>
      <c r="N145" s="6">
        <v>4.6840000000000002</v>
      </c>
      <c r="O145" s="6">
        <v>4.6840000000000002</v>
      </c>
      <c r="P145" s="6">
        <v>54</v>
      </c>
      <c r="Q145" s="4" t="s">
        <v>26</v>
      </c>
      <c r="R145" s="4">
        <v>0</v>
      </c>
      <c r="S145" s="6">
        <v>0</v>
      </c>
      <c r="T145" s="6">
        <v>40</v>
      </c>
      <c r="U145" s="6">
        <v>27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630.02</v>
      </c>
      <c r="X145" s="6">
        <f>IF(ISERROR(VLOOKUP($U$145,'TAR FIN'!$A$1:$O$85,15,0)),0,VLOOKUP($U$145,'TAR FIN'!$A$1:$O$85,15,0))</f>
        <v>181.56</v>
      </c>
      <c r="Y145" s="6"/>
      <c r="Z145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5" s="6">
        <f>('TE BE'!$AA$13+'TE BF'!$AA$13+'TE CVA'!$AA$13)*(1-CUSTOS!$M$36)</f>
        <v>203.21531085583592</v>
      </c>
      <c r="AB145" s="6">
        <f>$K$145*$V$145</f>
        <v>0</v>
      </c>
      <c r="AC145" s="6">
        <f>$M$145*$W$145</f>
        <v>2951.01368</v>
      </c>
      <c r="AD145" s="6">
        <f>$O$145*$X$145</f>
        <v>850.42704000000003</v>
      </c>
      <c r="AE145" s="6">
        <f>$K$145*$Y$145</f>
        <v>0</v>
      </c>
      <c r="AF145" s="6">
        <f ca="1">$M$145*$Z$145</f>
        <v>3815.3431860295009</v>
      </c>
      <c r="AG145" s="6">
        <f>$O$145*$AA$145</f>
        <v>951.86051604873546</v>
      </c>
    </row>
    <row r="146" spans="1:3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31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5.4850000000000003</v>
      </c>
      <c r="M146" s="6">
        <v>5.4850000000000003</v>
      </c>
      <c r="N146" s="6">
        <v>5.4850000000000003</v>
      </c>
      <c r="O146" s="6">
        <v>5.4850000000000003</v>
      </c>
      <c r="P146" s="6">
        <v>62</v>
      </c>
      <c r="Q146" s="4" t="s">
        <v>26</v>
      </c>
      <c r="R146" s="4">
        <v>0</v>
      </c>
      <c r="S146" s="6">
        <v>0</v>
      </c>
      <c r="T146" s="6">
        <v>40</v>
      </c>
      <c r="U146" s="6">
        <v>27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630.02</v>
      </c>
      <c r="X146" s="6">
        <f>IF(ISERROR(VLOOKUP($U$146,'TAR FIN'!$A$1:$O$85,15,0)),0,VLOOKUP($U$146,'TAR FIN'!$A$1:$O$85,15,0))</f>
        <v>181.56</v>
      </c>
      <c r="Y146" s="6"/>
      <c r="Z146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6" s="6">
        <f>('TE BE'!$AA$13+'TE BF'!$AA$13+'TE CVA'!$AA$13)*(1-CUSTOS!$M$36)</f>
        <v>203.21531085583592</v>
      </c>
      <c r="AB146" s="6">
        <f>$K$146*$V$146</f>
        <v>0</v>
      </c>
      <c r="AC146" s="6">
        <f>$M$146*$W$146</f>
        <v>3455.6597000000002</v>
      </c>
      <c r="AD146" s="6">
        <f>$O$146*$X$146</f>
        <v>995.85660000000007</v>
      </c>
      <c r="AE146" s="6">
        <f>$K$146*$Y$146</f>
        <v>0</v>
      </c>
      <c r="AF146" s="6">
        <f ca="1">$M$146*$Z$146</f>
        <v>4467.7961945712668</v>
      </c>
      <c r="AG146" s="6">
        <f>$O$146*$AA$146</f>
        <v>1114.6359800442601</v>
      </c>
    </row>
    <row r="147" spans="1:33" ht="11.25" customHeight="1" x14ac:dyDescent="0.3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31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-5.1999999999999998E-2</v>
      </c>
      <c r="M147" s="6">
        <v>-5.1999999999999998E-2</v>
      </c>
      <c r="N147" s="6">
        <v>-5.1999999999999998E-2</v>
      </c>
      <c r="O147" s="6">
        <v>-5.1999999999999998E-2</v>
      </c>
      <c r="P147" s="6">
        <v>0</v>
      </c>
      <c r="Q147" s="4" t="s">
        <v>26</v>
      </c>
      <c r="R147" s="4">
        <v>0</v>
      </c>
      <c r="S147" s="6">
        <v>0</v>
      </c>
      <c r="T147" s="6">
        <v>40</v>
      </c>
      <c r="U147" s="6">
        <v>27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630.02</v>
      </c>
      <c r="X147" s="6">
        <f>IF(ISERROR(VLOOKUP($U$147,'TAR FIN'!$A$1:$O$85,15,0)),0,VLOOKUP($U$147,'TAR FIN'!$A$1:$O$85,15,0))</f>
        <v>181.56</v>
      </c>
      <c r="Y147" s="6"/>
      <c r="Z147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7" s="6">
        <f>('TE BE'!$AA$13+'TE BF'!$AA$13+'TE CVA'!$AA$13)*(1-CUSTOS!$M$36)</f>
        <v>203.21531085583592</v>
      </c>
      <c r="AB147" s="6">
        <f>$K$147*$V$147</f>
        <v>0</v>
      </c>
      <c r="AC147" s="6">
        <f>$M$147*$W$147</f>
        <v>-32.761039999999994</v>
      </c>
      <c r="AD147" s="6">
        <f>$O$147*$X$147</f>
        <v>-9.4411199999999997</v>
      </c>
      <c r="AE147" s="6">
        <f>$K$147*$Y$147</f>
        <v>0</v>
      </c>
      <c r="AF147" s="6">
        <f ca="1">$M$147*$Z$147</f>
        <v>-42.356499930301887</v>
      </c>
      <c r="AG147" s="6">
        <f>$O$147*$AA$147</f>
        <v>-10.567196164503468</v>
      </c>
    </row>
    <row r="148" spans="1:3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31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6.1559999999999997</v>
      </c>
      <c r="M148" s="6">
        <v>6.1559999999999997</v>
      </c>
      <c r="N148" s="6">
        <v>6.1559999999999997</v>
      </c>
      <c r="O148" s="6">
        <v>6.1559999999999997</v>
      </c>
      <c r="P148" s="6">
        <v>70</v>
      </c>
      <c r="Q148" s="4" t="s">
        <v>26</v>
      </c>
      <c r="R148" s="4">
        <v>0</v>
      </c>
      <c r="S148" s="6">
        <v>0</v>
      </c>
      <c r="T148" s="6">
        <v>40</v>
      </c>
      <c r="U148" s="6">
        <v>27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630.02</v>
      </c>
      <c r="X148" s="6">
        <f>IF(ISERROR(VLOOKUP($U$148,'TAR FIN'!$A$1:$O$85,15,0)),0,VLOOKUP($U$148,'TAR FIN'!$A$1:$O$85,15,0))</f>
        <v>181.56</v>
      </c>
      <c r="Y148" s="6"/>
      <c r="Z148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8" s="6">
        <f>('TE BE'!$AA$13+'TE BF'!$AA$13+'TE CVA'!$AA$13)*(1-CUSTOS!$M$36)</f>
        <v>203.21531085583592</v>
      </c>
      <c r="AB148" s="6">
        <f>$K$148*$V$148</f>
        <v>0</v>
      </c>
      <c r="AC148" s="6">
        <f>$M$148*$W$148</f>
        <v>3878.4031199999995</v>
      </c>
      <c r="AD148" s="6">
        <f>$O$148*$X$148</f>
        <v>1117.68336</v>
      </c>
      <c r="AE148" s="6">
        <f>$K$148*$Y$148</f>
        <v>0</v>
      </c>
      <c r="AF148" s="6">
        <f ca="1">$M$148*$Z$148</f>
        <v>5014.3579532872773</v>
      </c>
      <c r="AG148" s="6">
        <f>$O$148*$AA$148</f>
        <v>1250.9934536285259</v>
      </c>
    </row>
    <row r="149" spans="1:33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31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6.8220000000000001</v>
      </c>
      <c r="M149" s="6">
        <v>6.8220000000000001</v>
      </c>
      <c r="N149" s="6">
        <v>6.8220000000000001</v>
      </c>
      <c r="O149" s="6">
        <v>6.8220000000000001</v>
      </c>
      <c r="P149" s="6">
        <v>72</v>
      </c>
      <c r="Q149" s="4" t="s">
        <v>26</v>
      </c>
      <c r="R149" s="4">
        <v>0</v>
      </c>
      <c r="S149" s="6">
        <v>0</v>
      </c>
      <c r="T149" s="6">
        <v>40</v>
      </c>
      <c r="U149" s="6">
        <v>27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630.02</v>
      </c>
      <c r="X149" s="6">
        <f>IF(ISERROR(VLOOKUP($U$149,'TAR FIN'!$A$1:$O$85,15,0)),0,VLOOKUP($U$149,'TAR FIN'!$A$1:$O$85,15,0))</f>
        <v>181.56</v>
      </c>
      <c r="Y149" s="6"/>
      <c r="Z149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49" s="6">
        <f>('TE BE'!$AA$13+'TE BF'!$AA$13+'TE CVA'!$AA$13)*(1-CUSTOS!$M$36)</f>
        <v>203.21531085583592</v>
      </c>
      <c r="AB149" s="6">
        <f>$K$149*$V$149</f>
        <v>0</v>
      </c>
      <c r="AC149" s="6">
        <f>$M$149*$W$149</f>
        <v>4297.9964399999999</v>
      </c>
      <c r="AD149" s="6">
        <f>$O$149*$X$149</f>
        <v>1238.60232</v>
      </c>
      <c r="AE149" s="6">
        <f>$K$149*$Y$149</f>
        <v>0</v>
      </c>
      <c r="AF149" s="6">
        <f ca="1">$M$149*$Z$149</f>
        <v>5556.8469716253749</v>
      </c>
      <c r="AG149" s="6">
        <f>$O$149*$AA$149</f>
        <v>1386.3348506585128</v>
      </c>
    </row>
    <row r="150" spans="1:3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31</v>
      </c>
      <c r="F150" s="4" t="s">
        <v>25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12.817</v>
      </c>
      <c r="M150" s="6">
        <v>12.817</v>
      </c>
      <c r="N150" s="6">
        <v>12.817</v>
      </c>
      <c r="O150" s="6">
        <v>12.817</v>
      </c>
      <c r="P150" s="6">
        <v>145</v>
      </c>
      <c r="Q150" s="4" t="s">
        <v>26</v>
      </c>
      <c r="R150" s="4">
        <v>0</v>
      </c>
      <c r="S150" s="6">
        <v>0</v>
      </c>
      <c r="T150" s="6">
        <v>40</v>
      </c>
      <c r="U150" s="6">
        <v>27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630.02</v>
      </c>
      <c r="X150" s="6">
        <f>IF(ISERROR(VLOOKUP($U$150,'TAR FIN'!$A$1:$O$85,15,0)),0,VLOOKUP($U$150,'TAR FIN'!$A$1:$O$85,15,0))</f>
        <v>181.56</v>
      </c>
      <c r="Y150" s="6"/>
      <c r="Z150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150" s="6">
        <f>('TE BE'!$AA$13+'TE BF'!$AA$13+'TE CVA'!$AA$13)*(1-CUSTOS!$M$36)</f>
        <v>203.21531085583592</v>
      </c>
      <c r="AB150" s="6">
        <f>$K$150*$V$150</f>
        <v>0</v>
      </c>
      <c r="AC150" s="6">
        <f>$M$150*$W$150</f>
        <v>8074.9663399999999</v>
      </c>
      <c r="AD150" s="6">
        <f>$O$150*$X$150</f>
        <v>2327.0545200000001</v>
      </c>
      <c r="AE150" s="6">
        <f>$K$150*$Y$150</f>
        <v>0</v>
      </c>
      <c r="AF150" s="6">
        <f ca="1">$M$150*$Z$150</f>
        <v>10440.062684743833</v>
      </c>
      <c r="AG150" s="6">
        <f>$O$150*$AA$150</f>
        <v>2604.6106392392489</v>
      </c>
    </row>
    <row r="151" spans="1:3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32</v>
      </c>
      <c r="F151" s="4" t="s">
        <v>25</v>
      </c>
      <c r="G151" s="4" t="s">
        <v>25</v>
      </c>
      <c r="H151" s="4" t="s">
        <v>25</v>
      </c>
      <c r="I151" s="5">
        <v>44287</v>
      </c>
      <c r="J151" s="6">
        <v>0</v>
      </c>
      <c r="K151" s="6">
        <v>0</v>
      </c>
      <c r="L151" s="6">
        <v>1.7529999999999999</v>
      </c>
      <c r="M151" s="6">
        <v>1.7529999999999999</v>
      </c>
      <c r="N151" s="6">
        <v>1.7529999999999999</v>
      </c>
      <c r="O151" s="6">
        <v>1.7529999999999999</v>
      </c>
      <c r="P151" s="6">
        <v>14</v>
      </c>
      <c r="Q151" s="4" t="s">
        <v>26</v>
      </c>
      <c r="R151" s="4">
        <v>0</v>
      </c>
      <c r="S151" s="6">
        <v>0</v>
      </c>
      <c r="T151" s="6">
        <v>41</v>
      </c>
      <c r="U151" s="6">
        <v>28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700.03</v>
      </c>
      <c r="X151" s="6">
        <f>IF(ISERROR(VLOOKUP($U$151,'TAR FIN'!$A$1:$O$85,15,0)),0,VLOOKUP($U$151,'TAR FIN'!$A$1:$O$85,15,0))</f>
        <v>201.73</v>
      </c>
      <c r="Y151" s="6"/>
      <c r="Z151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1" s="6">
        <f>('TE BE'!$AA$14+'TE BF'!$AA$14+'TE CVA'!$AA$14)*(1-CUSTOS!$M$37)</f>
        <v>225.7947898398177</v>
      </c>
      <c r="AB151" s="6">
        <f>$K$151*$V$151</f>
        <v>0</v>
      </c>
      <c r="AC151" s="6">
        <f>$M$151*$W$151</f>
        <v>1227.1525899999999</v>
      </c>
      <c r="AD151" s="6">
        <f>$O$151*$X$151</f>
        <v>353.63268999999997</v>
      </c>
      <c r="AE151" s="6">
        <f>$K$151*$Y$151</f>
        <v>0</v>
      </c>
      <c r="AF151" s="6">
        <f ca="1">$M$151*$Z$151</f>
        <v>1586.5586405516924</v>
      </c>
      <c r="AG151" s="6">
        <f>$O$151*$AA$151</f>
        <v>395.81826658920039</v>
      </c>
    </row>
    <row r="152" spans="1:3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32</v>
      </c>
      <c r="F152" s="4" t="s">
        <v>25</v>
      </c>
      <c r="G152" s="4" t="s">
        <v>25</v>
      </c>
      <c r="H152" s="4" t="s">
        <v>25</v>
      </c>
      <c r="I152" s="5">
        <v>44317</v>
      </c>
      <c r="J152" s="6">
        <v>0</v>
      </c>
      <c r="K152" s="6">
        <v>0</v>
      </c>
      <c r="L152" s="6">
        <v>1.304</v>
      </c>
      <c r="M152" s="6">
        <v>1.304</v>
      </c>
      <c r="N152" s="6">
        <v>1.304</v>
      </c>
      <c r="O152" s="6">
        <v>1.304</v>
      </c>
      <c r="P152" s="6">
        <v>10</v>
      </c>
      <c r="Q152" s="4" t="s">
        <v>26</v>
      </c>
      <c r="R152" s="4">
        <v>0</v>
      </c>
      <c r="S152" s="6">
        <v>0</v>
      </c>
      <c r="T152" s="6">
        <v>41</v>
      </c>
      <c r="U152" s="6">
        <v>28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700.03</v>
      </c>
      <c r="X152" s="6">
        <f>IF(ISERROR(VLOOKUP($U$152,'TAR FIN'!$A$1:$O$85,15,0)),0,VLOOKUP($U$152,'TAR FIN'!$A$1:$O$85,15,0))</f>
        <v>201.73</v>
      </c>
      <c r="Y152" s="6"/>
      <c r="Z152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2" s="6">
        <f>('TE BE'!$AA$14+'TE BF'!$AA$14+'TE CVA'!$AA$14)*(1-CUSTOS!$M$37)</f>
        <v>225.7947898398177</v>
      </c>
      <c r="AB152" s="6">
        <f>$K$152*$V$152</f>
        <v>0</v>
      </c>
      <c r="AC152" s="6">
        <f>$M$152*$W$152</f>
        <v>912.83911999999998</v>
      </c>
      <c r="AD152" s="6">
        <f>$O$152*$X$152</f>
        <v>263.05592000000001</v>
      </c>
      <c r="AE152" s="6">
        <f>$K$152*$Y$152</f>
        <v>0</v>
      </c>
      <c r="AF152" s="6">
        <f ca="1">$M$152*$Z$152</f>
        <v>1180.1896561776425</v>
      </c>
      <c r="AG152" s="6">
        <f>$O$152*$AA$152</f>
        <v>294.43640595112231</v>
      </c>
    </row>
    <row r="153" spans="1:3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32</v>
      </c>
      <c r="F153" s="4" t="s">
        <v>25</v>
      </c>
      <c r="G153" s="4" t="s">
        <v>25</v>
      </c>
      <c r="H153" s="4" t="s">
        <v>25</v>
      </c>
      <c r="I153" s="5">
        <v>44348</v>
      </c>
      <c r="J153" s="6">
        <v>0</v>
      </c>
      <c r="K153" s="6">
        <v>0</v>
      </c>
      <c r="L153" s="6">
        <v>1.218</v>
      </c>
      <c r="M153" s="6">
        <v>1.218</v>
      </c>
      <c r="N153" s="6">
        <v>1.218</v>
      </c>
      <c r="O153" s="6">
        <v>1.218</v>
      </c>
      <c r="P153" s="6">
        <v>8</v>
      </c>
      <c r="Q153" s="4" t="s">
        <v>26</v>
      </c>
      <c r="R153" s="4">
        <v>0</v>
      </c>
      <c r="S153" s="6">
        <v>0</v>
      </c>
      <c r="T153" s="6">
        <v>41</v>
      </c>
      <c r="U153" s="6">
        <v>28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700.03</v>
      </c>
      <c r="X153" s="6">
        <f>IF(ISERROR(VLOOKUP($U$153,'TAR FIN'!$A$1:$O$85,15,0)),0,VLOOKUP($U$153,'TAR FIN'!$A$1:$O$85,15,0))</f>
        <v>201.73</v>
      </c>
      <c r="Y153" s="6"/>
      <c r="Z153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3" s="6">
        <f>('TE BE'!$AA$14+'TE BF'!$AA$14+'TE CVA'!$AA$14)*(1-CUSTOS!$M$37)</f>
        <v>225.7947898398177</v>
      </c>
      <c r="AB153" s="6">
        <f>$K$153*$V$153</f>
        <v>0</v>
      </c>
      <c r="AC153" s="6">
        <f>$M$153*$W$153</f>
        <v>852.63653999999997</v>
      </c>
      <c r="AD153" s="6">
        <f>$O$153*$X$153</f>
        <v>245.70713999999998</v>
      </c>
      <c r="AE153" s="6">
        <f>$K$153*$Y$153</f>
        <v>0</v>
      </c>
      <c r="AF153" s="6">
        <f ca="1">$M$153*$Z$153</f>
        <v>1102.3550622886262</v>
      </c>
      <c r="AG153" s="6">
        <f>$O$153*$AA$153</f>
        <v>275.01805402489794</v>
      </c>
    </row>
    <row r="154" spans="1:3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32</v>
      </c>
      <c r="F154" s="4" t="s">
        <v>25</v>
      </c>
      <c r="G154" s="4" t="s">
        <v>25</v>
      </c>
      <c r="H154" s="4" t="s">
        <v>25</v>
      </c>
      <c r="I154" s="5">
        <v>44378</v>
      </c>
      <c r="J154" s="6">
        <v>0</v>
      </c>
      <c r="K154" s="6">
        <v>0</v>
      </c>
      <c r="L154" s="6">
        <v>1.37</v>
      </c>
      <c r="M154" s="6">
        <v>1.37</v>
      </c>
      <c r="N154" s="6">
        <v>1.37</v>
      </c>
      <c r="O154" s="6">
        <v>1.37</v>
      </c>
      <c r="P154" s="6">
        <v>11</v>
      </c>
      <c r="Q154" s="4" t="s">
        <v>26</v>
      </c>
      <c r="R154" s="4">
        <v>0</v>
      </c>
      <c r="S154" s="6">
        <v>0</v>
      </c>
      <c r="T154" s="6">
        <v>41</v>
      </c>
      <c r="U154" s="6">
        <v>28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700.03</v>
      </c>
      <c r="X154" s="6">
        <f>IF(ISERROR(VLOOKUP($U$154,'TAR FIN'!$A$1:$O$85,15,0)),0,VLOOKUP($U$154,'TAR FIN'!$A$1:$O$85,15,0))</f>
        <v>201.73</v>
      </c>
      <c r="Y154" s="6"/>
      <c r="Z154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4" s="6">
        <f>('TE BE'!$AA$14+'TE BF'!$AA$14+'TE CVA'!$AA$14)*(1-CUSTOS!$M$37)</f>
        <v>225.7947898398177</v>
      </c>
      <c r="AB154" s="6">
        <f>$K$154*$V$154</f>
        <v>0</v>
      </c>
      <c r="AC154" s="6">
        <f>$M$154*$W$154</f>
        <v>959.04110000000003</v>
      </c>
      <c r="AD154" s="6">
        <f>$O$154*$X$154</f>
        <v>276.37009999999998</v>
      </c>
      <c r="AE154" s="6">
        <f>$K$154*$Y$154</f>
        <v>0</v>
      </c>
      <c r="AF154" s="6">
        <f ca="1">$M$154*$Z$154</f>
        <v>1239.9231817203759</v>
      </c>
      <c r="AG154" s="6">
        <f>$O$154*$AA$154</f>
        <v>309.33886208055026</v>
      </c>
    </row>
    <row r="155" spans="1:3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32</v>
      </c>
      <c r="F155" s="4" t="s">
        <v>25</v>
      </c>
      <c r="G155" s="4" t="s">
        <v>25</v>
      </c>
      <c r="H155" s="4" t="s">
        <v>25</v>
      </c>
      <c r="I155" s="5">
        <v>44409</v>
      </c>
      <c r="J155" s="6">
        <v>0</v>
      </c>
      <c r="K155" s="6">
        <v>0</v>
      </c>
      <c r="L155" s="6">
        <v>1.6919999999999999</v>
      </c>
      <c r="M155" s="6">
        <v>1.6919999999999999</v>
      </c>
      <c r="N155" s="6">
        <v>1.6919999999999999</v>
      </c>
      <c r="O155" s="6">
        <v>1.6919999999999999</v>
      </c>
      <c r="P155" s="6">
        <v>13</v>
      </c>
      <c r="Q155" s="4" t="s">
        <v>26</v>
      </c>
      <c r="R155" s="4">
        <v>0</v>
      </c>
      <c r="S155" s="6">
        <v>0</v>
      </c>
      <c r="T155" s="6">
        <v>41</v>
      </c>
      <c r="U155" s="6">
        <v>28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700.03</v>
      </c>
      <c r="X155" s="6">
        <f>IF(ISERROR(VLOOKUP($U$155,'TAR FIN'!$A$1:$O$85,15,0)),0,VLOOKUP($U$155,'TAR FIN'!$A$1:$O$85,15,0))</f>
        <v>201.73</v>
      </c>
      <c r="Y155" s="6"/>
      <c r="Z155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5" s="6">
        <f>('TE BE'!$AA$14+'TE BF'!$AA$14+'TE CVA'!$AA$14)*(1-CUSTOS!$M$37)</f>
        <v>225.7947898398177</v>
      </c>
      <c r="AB155" s="6">
        <f>$K$155*$V$155</f>
        <v>0</v>
      </c>
      <c r="AC155" s="6">
        <f>$M$155*$W$155</f>
        <v>1184.4507599999999</v>
      </c>
      <c r="AD155" s="6">
        <f>$O$155*$X$155</f>
        <v>341.32715999999999</v>
      </c>
      <c r="AE155" s="6">
        <f>$K$155*$Y$155</f>
        <v>0</v>
      </c>
      <c r="AF155" s="6">
        <f ca="1">$M$155*$Z$155</f>
        <v>1531.3503820955298</v>
      </c>
      <c r="AG155" s="6">
        <f>$O$155*$AA$155</f>
        <v>382.04478440897151</v>
      </c>
    </row>
    <row r="156" spans="1:3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32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1.6379999999999999</v>
      </c>
      <c r="M156" s="6">
        <v>1.6379999999999999</v>
      </c>
      <c r="N156" s="6">
        <v>1.6379999999999999</v>
      </c>
      <c r="O156" s="6">
        <v>1.6379999999999999</v>
      </c>
      <c r="P156" s="6">
        <v>20</v>
      </c>
      <c r="Q156" s="4" t="s">
        <v>26</v>
      </c>
      <c r="R156" s="4">
        <v>0</v>
      </c>
      <c r="S156" s="6">
        <v>0</v>
      </c>
      <c r="T156" s="6">
        <v>41</v>
      </c>
      <c r="U156" s="6">
        <v>28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700.03</v>
      </c>
      <c r="X156" s="6">
        <f>IF(ISERROR(VLOOKUP($U$156,'TAR FIN'!$A$1:$O$85,15,0)),0,VLOOKUP($U$156,'TAR FIN'!$A$1:$O$85,15,0))</f>
        <v>201.73</v>
      </c>
      <c r="Y156" s="6"/>
      <c r="Z156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6" s="6">
        <f>('TE BE'!$AA$14+'TE BF'!$AA$14+'TE CVA'!$AA$14)*(1-CUSTOS!$M$37)</f>
        <v>225.7947898398177</v>
      </c>
      <c r="AB156" s="6">
        <f>$K$156*$V$156</f>
        <v>0</v>
      </c>
      <c r="AC156" s="6">
        <f>$M$156*$W$156</f>
        <v>1146.64914</v>
      </c>
      <c r="AD156" s="6">
        <f>$O$156*$X$156</f>
        <v>330.43373999999994</v>
      </c>
      <c r="AE156" s="6">
        <f>$K$156*$Y$156</f>
        <v>0</v>
      </c>
      <c r="AF156" s="6">
        <f ca="1">$M$156*$Z$156</f>
        <v>1482.477497560566</v>
      </c>
      <c r="AG156" s="6">
        <f>$O$156*$AA$156</f>
        <v>369.85186575762134</v>
      </c>
    </row>
    <row r="157" spans="1:3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32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1.7350000000000001</v>
      </c>
      <c r="M157" s="6">
        <v>1.7350000000000001</v>
      </c>
      <c r="N157" s="6">
        <v>1.7350000000000001</v>
      </c>
      <c r="O157" s="6">
        <v>1.7350000000000001</v>
      </c>
      <c r="P157" s="6">
        <v>16</v>
      </c>
      <c r="Q157" s="4" t="s">
        <v>26</v>
      </c>
      <c r="R157" s="4">
        <v>0</v>
      </c>
      <c r="S157" s="6">
        <v>0</v>
      </c>
      <c r="T157" s="6">
        <v>41</v>
      </c>
      <c r="U157" s="6">
        <v>28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700.03</v>
      </c>
      <c r="X157" s="6">
        <f>IF(ISERROR(VLOOKUP($U$157,'TAR FIN'!$A$1:$O$85,15,0)),0,VLOOKUP($U$157,'TAR FIN'!$A$1:$O$85,15,0))</f>
        <v>201.73</v>
      </c>
      <c r="Y157" s="6"/>
      <c r="Z157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7" s="6">
        <f>('TE BE'!$AA$14+'TE BF'!$AA$14+'TE CVA'!$AA$14)*(1-CUSTOS!$M$37)</f>
        <v>225.7947898398177</v>
      </c>
      <c r="AB157" s="6">
        <f>$K$157*$V$157</f>
        <v>0</v>
      </c>
      <c r="AC157" s="6">
        <f>$M$157*$W$157</f>
        <v>1214.55205</v>
      </c>
      <c r="AD157" s="6">
        <f>$O$157*$X$157</f>
        <v>350.00155000000001</v>
      </c>
      <c r="AE157" s="6">
        <f>$K$157*$Y$157</f>
        <v>0</v>
      </c>
      <c r="AF157" s="6">
        <f ca="1">$M$157*$Z$157</f>
        <v>1570.267679040038</v>
      </c>
      <c r="AG157" s="6">
        <f>$O$157*$AA$157</f>
        <v>391.75396037208372</v>
      </c>
    </row>
    <row r="158" spans="1:3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32</v>
      </c>
      <c r="F158" s="4" t="s">
        <v>25</v>
      </c>
      <c r="G158" s="4" t="s">
        <v>25</v>
      </c>
      <c r="H158" s="4" t="s">
        <v>25</v>
      </c>
      <c r="I158" s="5">
        <v>44501</v>
      </c>
      <c r="J158" s="6">
        <v>0</v>
      </c>
      <c r="K158" s="6">
        <v>0</v>
      </c>
      <c r="L158" s="6">
        <v>1.452</v>
      </c>
      <c r="M158" s="6">
        <v>1.452</v>
      </c>
      <c r="N158" s="6">
        <v>1.452</v>
      </c>
      <c r="O158" s="6">
        <v>1.452</v>
      </c>
      <c r="P158" s="6">
        <v>17</v>
      </c>
      <c r="Q158" s="4" t="s">
        <v>26</v>
      </c>
      <c r="R158" s="4">
        <v>0</v>
      </c>
      <c r="S158" s="6">
        <v>0</v>
      </c>
      <c r="T158" s="6">
        <v>41</v>
      </c>
      <c r="U158" s="6">
        <v>28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700.03</v>
      </c>
      <c r="X158" s="6">
        <f>IF(ISERROR(VLOOKUP($U$158,'TAR FIN'!$A$1:$O$85,15,0)),0,VLOOKUP($U$158,'TAR FIN'!$A$1:$O$85,15,0))</f>
        <v>201.73</v>
      </c>
      <c r="Y158" s="6"/>
      <c r="Z158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8" s="6">
        <f>('TE BE'!$AA$14+'TE BF'!$AA$14+'TE CVA'!$AA$14)*(1-CUSTOS!$M$37)</f>
        <v>225.7947898398177</v>
      </c>
      <c r="AB158" s="6">
        <f>$K$158*$V$158</f>
        <v>0</v>
      </c>
      <c r="AC158" s="6">
        <f>$M$158*$W$158</f>
        <v>1016.4435599999999</v>
      </c>
      <c r="AD158" s="6">
        <f>$O$158*$X$158</f>
        <v>292.91195999999997</v>
      </c>
      <c r="AE158" s="6">
        <f>$K$158*$Y$158</f>
        <v>0</v>
      </c>
      <c r="AF158" s="6">
        <f ca="1">$M$158*$Z$158</f>
        <v>1314.1375619401356</v>
      </c>
      <c r="AG158" s="6">
        <f>$O$158*$AA$158</f>
        <v>327.85403484741528</v>
      </c>
    </row>
    <row r="159" spans="1:3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32</v>
      </c>
      <c r="F159" s="4" t="s">
        <v>25</v>
      </c>
      <c r="G159" s="4" t="s">
        <v>25</v>
      </c>
      <c r="H159" s="4" t="s">
        <v>25</v>
      </c>
      <c r="I159" s="5">
        <v>44531</v>
      </c>
      <c r="J159" s="6">
        <v>0</v>
      </c>
      <c r="K159" s="6">
        <v>0</v>
      </c>
      <c r="L159" s="6">
        <v>1.7949999999999999</v>
      </c>
      <c r="M159" s="6">
        <v>1.7949999999999999</v>
      </c>
      <c r="N159" s="6">
        <v>1.7949999999999999</v>
      </c>
      <c r="O159" s="6">
        <v>1.7949999999999999</v>
      </c>
      <c r="P159" s="6">
        <v>19</v>
      </c>
      <c r="Q159" s="4" t="s">
        <v>26</v>
      </c>
      <c r="R159" s="4">
        <v>0</v>
      </c>
      <c r="S159" s="6">
        <v>0</v>
      </c>
      <c r="T159" s="6">
        <v>41</v>
      </c>
      <c r="U159" s="6">
        <v>28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700.03</v>
      </c>
      <c r="X159" s="6">
        <f>IF(ISERROR(VLOOKUP($U$159,'TAR FIN'!$A$1:$O$85,15,0)),0,VLOOKUP($U$159,'TAR FIN'!$A$1:$O$85,15,0))</f>
        <v>201.73</v>
      </c>
      <c r="Y159" s="6"/>
      <c r="Z159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59" s="6">
        <f>('TE BE'!$AA$14+'TE BF'!$AA$14+'TE CVA'!$AA$14)*(1-CUSTOS!$M$37)</f>
        <v>225.7947898398177</v>
      </c>
      <c r="AB159" s="6">
        <f>$K$159*$V$159</f>
        <v>0</v>
      </c>
      <c r="AC159" s="6">
        <f>$M$159*$W$159</f>
        <v>1256.55385</v>
      </c>
      <c r="AD159" s="6">
        <f>$O$159*$X$159</f>
        <v>362.10534999999999</v>
      </c>
      <c r="AE159" s="6">
        <f>$K$159*$Y$159</f>
        <v>0</v>
      </c>
      <c r="AF159" s="6">
        <f ca="1">$M$159*$Z$159</f>
        <v>1624.5708840788866</v>
      </c>
      <c r="AG159" s="6">
        <f>$O$159*$AA$159</f>
        <v>405.30164776247273</v>
      </c>
    </row>
    <row r="160" spans="1:3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32</v>
      </c>
      <c r="F160" s="4" t="s">
        <v>25</v>
      </c>
      <c r="G160" s="4" t="s">
        <v>25</v>
      </c>
      <c r="H160" s="4" t="s">
        <v>25</v>
      </c>
      <c r="I160" s="5">
        <v>44562</v>
      </c>
      <c r="J160" s="6">
        <v>0</v>
      </c>
      <c r="K160" s="6">
        <v>0</v>
      </c>
      <c r="L160" s="6">
        <v>2.1150000000000002</v>
      </c>
      <c r="M160" s="6">
        <v>2.1150000000000002</v>
      </c>
      <c r="N160" s="6">
        <v>2.1150000000000002</v>
      </c>
      <c r="O160" s="6">
        <v>2.1150000000000002</v>
      </c>
      <c r="P160" s="6">
        <v>18</v>
      </c>
      <c r="Q160" s="4" t="s">
        <v>26</v>
      </c>
      <c r="R160" s="4">
        <v>0</v>
      </c>
      <c r="S160" s="6">
        <v>0</v>
      </c>
      <c r="T160" s="6">
        <v>41</v>
      </c>
      <c r="U160" s="6">
        <v>28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700.03</v>
      </c>
      <c r="X160" s="6">
        <f>IF(ISERROR(VLOOKUP($U$160,'TAR FIN'!$A$1:$O$85,15,0)),0,VLOOKUP($U$160,'TAR FIN'!$A$1:$O$85,15,0))</f>
        <v>201.73</v>
      </c>
      <c r="Y160" s="6"/>
      <c r="Z160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60" s="6">
        <f>('TE BE'!$AA$14+'TE BF'!$AA$14+'TE CVA'!$AA$14)*(1-CUSTOS!$M$37)</f>
        <v>225.7947898398177</v>
      </c>
      <c r="AB160" s="6">
        <f>$K$160*$V$160</f>
        <v>0</v>
      </c>
      <c r="AC160" s="6">
        <f>$M$160*$W$160</f>
        <v>1480.5634500000001</v>
      </c>
      <c r="AD160" s="6">
        <f>$O$160*$X$160</f>
        <v>426.65895</v>
      </c>
      <c r="AE160" s="6">
        <f>$K$160*$Y$160</f>
        <v>0</v>
      </c>
      <c r="AF160" s="6">
        <f ca="1">$M$160*$Z$160</f>
        <v>1914.1879776194125</v>
      </c>
      <c r="AG160" s="6">
        <f>$O$160*$AA$160</f>
        <v>477.5559805112145</v>
      </c>
    </row>
    <row r="161" spans="1:3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32</v>
      </c>
      <c r="F161" s="4" t="s">
        <v>25</v>
      </c>
      <c r="G161" s="4" t="s">
        <v>25</v>
      </c>
      <c r="H161" s="4" t="s">
        <v>25</v>
      </c>
      <c r="I161" s="5">
        <v>44593</v>
      </c>
      <c r="J161" s="6">
        <v>0</v>
      </c>
      <c r="K161" s="6">
        <v>0</v>
      </c>
      <c r="L161" s="6">
        <v>2.5640000000000001</v>
      </c>
      <c r="M161" s="6">
        <v>2.5640000000000001</v>
      </c>
      <c r="N161" s="6">
        <v>2.5640000000000001</v>
      </c>
      <c r="O161" s="6">
        <v>2.5640000000000001</v>
      </c>
      <c r="P161" s="6">
        <v>26</v>
      </c>
      <c r="Q161" s="4" t="s">
        <v>26</v>
      </c>
      <c r="R161" s="4">
        <v>0</v>
      </c>
      <c r="S161" s="6">
        <v>0</v>
      </c>
      <c r="T161" s="6">
        <v>41</v>
      </c>
      <c r="U161" s="6">
        <v>28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700.03</v>
      </c>
      <c r="X161" s="6">
        <f>IF(ISERROR(VLOOKUP($U$161,'TAR FIN'!$A$1:$O$85,15,0)),0,VLOOKUP($U$161,'TAR FIN'!$A$1:$O$85,15,0))</f>
        <v>201.73</v>
      </c>
      <c r="Y161" s="6"/>
      <c r="Z161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61" s="6">
        <f>('TE BE'!$AA$14+'TE BF'!$AA$14+'TE CVA'!$AA$14)*(1-CUSTOS!$M$37)</f>
        <v>225.7947898398177</v>
      </c>
      <c r="AB161" s="6">
        <f>$K$161*$V$161</f>
        <v>0</v>
      </c>
      <c r="AC161" s="6">
        <f>$M$161*$W$161</f>
        <v>1794.8769199999999</v>
      </c>
      <c r="AD161" s="6">
        <f>$O$161*$X$161</f>
        <v>517.23572000000001</v>
      </c>
      <c r="AE161" s="6">
        <f>$K$161*$Y$161</f>
        <v>0</v>
      </c>
      <c r="AF161" s="6">
        <f ca="1">$M$161*$Z$161</f>
        <v>2320.5569619934627</v>
      </c>
      <c r="AG161" s="6">
        <f>$O$161*$AA$161</f>
        <v>578.93784114929258</v>
      </c>
    </row>
    <row r="162" spans="1:33" ht="11.25" customHeight="1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32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4.2779999999999996</v>
      </c>
      <c r="M162" s="6">
        <v>4.2779999999999996</v>
      </c>
      <c r="N162" s="6">
        <v>4.2779999999999996</v>
      </c>
      <c r="O162" s="6">
        <v>4.2779999999999996</v>
      </c>
      <c r="P162" s="6">
        <v>45</v>
      </c>
      <c r="Q162" s="4" t="s">
        <v>26</v>
      </c>
      <c r="R162" s="4">
        <v>0</v>
      </c>
      <c r="S162" s="6">
        <v>0</v>
      </c>
      <c r="T162" s="6">
        <v>41</v>
      </c>
      <c r="U162" s="6">
        <v>28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700.03</v>
      </c>
      <c r="X162" s="6">
        <f>IF(ISERROR(VLOOKUP($U$162,'TAR FIN'!$A$1:$O$85,15,0)),0,VLOOKUP($U$162,'TAR FIN'!$A$1:$O$85,15,0))</f>
        <v>201.73</v>
      </c>
      <c r="Y162" s="6"/>
      <c r="Z162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162" s="6">
        <f>('TE BE'!$AA$14+'TE BF'!$AA$14+'TE CVA'!$AA$14)*(1-CUSTOS!$M$37)</f>
        <v>225.7947898398177</v>
      </c>
      <c r="AB162" s="6">
        <f>$K$162*$V$162</f>
        <v>0</v>
      </c>
      <c r="AC162" s="6">
        <f>$M$162*$W$162</f>
        <v>2994.7283399999997</v>
      </c>
      <c r="AD162" s="6">
        <f>$O$162*$X$162</f>
        <v>863.0009399999999</v>
      </c>
      <c r="AE162" s="6">
        <f>$K$162*$Y$162</f>
        <v>0</v>
      </c>
      <c r="AF162" s="6">
        <f ca="1">$M$162*$Z$162</f>
        <v>3871.8185192699034</v>
      </c>
      <c r="AG162" s="6">
        <f>$O$162*$AA$162</f>
        <v>965.95011093474</v>
      </c>
    </row>
    <row r="163" spans="1:33" ht="11.25" customHeight="1" x14ac:dyDescent="0.3">
      <c r="A163" s="4" t="s">
        <v>21</v>
      </c>
      <c r="B163" s="4" t="s">
        <v>40</v>
      </c>
      <c r="C163" s="4" t="s">
        <v>23</v>
      </c>
      <c r="D163" s="4" t="s">
        <v>41</v>
      </c>
      <c r="E163" s="4" t="s">
        <v>49</v>
      </c>
      <c r="F163" s="4" t="s">
        <v>50</v>
      </c>
      <c r="G163" s="4" t="s">
        <v>25</v>
      </c>
      <c r="H163" s="4" t="s">
        <v>25</v>
      </c>
      <c r="I163" s="5">
        <v>44287</v>
      </c>
      <c r="J163" s="6">
        <v>0</v>
      </c>
      <c r="K163" s="6">
        <v>0</v>
      </c>
      <c r="L163" s="6">
        <v>0.05</v>
      </c>
      <c r="M163" s="6">
        <v>0.05</v>
      </c>
      <c r="N163" s="6">
        <v>0.05</v>
      </c>
      <c r="O163" s="6">
        <v>0.05</v>
      </c>
      <c r="P163" s="6">
        <v>0</v>
      </c>
      <c r="Q163" s="4" t="s">
        <v>26</v>
      </c>
      <c r="R163" s="4">
        <v>0</v>
      </c>
      <c r="S163" s="6">
        <v>0</v>
      </c>
      <c r="T163" s="6">
        <v>74</v>
      </c>
      <c r="U163" s="6">
        <v>21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724.89</v>
      </c>
      <c r="X163" s="6">
        <f>IF(ISERROR(VLOOKUP($U$163,'TAR FIN'!$A$1:$O$85,15,0)),0,VLOOKUP($U$163,'TAR FIN'!$A$1:$O$85,15,0))</f>
        <v>177.53</v>
      </c>
      <c r="Y163" s="6"/>
      <c r="Z163" s="6">
        <f ca="1">('TUSD BE'!$AM$33+'TUSD BF'!$AM$33+'TUSD CVA'!$AM$33)*(1-CUSTOS!$M$38)</f>
        <v>983.68270772870949</v>
      </c>
      <c r="AA163" s="6">
        <f>('TE BE'!$AA$23+'TE BF'!$AA$23+'TE CVA'!$AA$23)*(1-CUSTOS!$M$38)</f>
        <v>212.24710244942861</v>
      </c>
      <c r="AB163" s="6">
        <f>$K$163*$V$163</f>
        <v>0</v>
      </c>
      <c r="AC163" s="6">
        <f>$M$163*$W$163</f>
        <v>36.244500000000002</v>
      </c>
      <c r="AD163" s="6">
        <f>$O$163*$X$163</f>
        <v>8.8765000000000001</v>
      </c>
      <c r="AE163" s="6">
        <f>$K$163*$Y$163</f>
        <v>0</v>
      </c>
      <c r="AF163" s="6">
        <f ca="1">$M$163*$Z$163</f>
        <v>49.184135386435479</v>
      </c>
      <c r="AG163" s="6">
        <f>$O$163*$AA$163</f>
        <v>10.612355122471431</v>
      </c>
    </row>
    <row r="164" spans="1:33" ht="11.25" customHeight="1" x14ac:dyDescent="0.3">
      <c r="A164" s="4" t="s">
        <v>21</v>
      </c>
      <c r="B164" s="4" t="s">
        <v>40</v>
      </c>
      <c r="C164" s="4" t="s">
        <v>23</v>
      </c>
      <c r="D164" s="4" t="s">
        <v>41</v>
      </c>
      <c r="E164" s="4" t="s">
        <v>49</v>
      </c>
      <c r="F164" s="4" t="s">
        <v>50</v>
      </c>
      <c r="G164" s="4" t="s">
        <v>25</v>
      </c>
      <c r="H164" s="4" t="s">
        <v>25</v>
      </c>
      <c r="I164" s="5">
        <v>44317</v>
      </c>
      <c r="J164" s="6">
        <v>0</v>
      </c>
      <c r="K164" s="6">
        <v>0</v>
      </c>
      <c r="L164" s="6">
        <v>0.06</v>
      </c>
      <c r="M164" s="6">
        <v>0.06</v>
      </c>
      <c r="N164" s="6">
        <v>0.06</v>
      </c>
      <c r="O164" s="6">
        <v>0.06</v>
      </c>
      <c r="P164" s="6">
        <v>0</v>
      </c>
      <c r="Q164" s="4" t="s">
        <v>26</v>
      </c>
      <c r="R164" s="4">
        <v>0</v>
      </c>
      <c r="S164" s="6">
        <v>0</v>
      </c>
      <c r="T164" s="6">
        <v>74</v>
      </c>
      <c r="U164" s="6">
        <v>21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724.89</v>
      </c>
      <c r="X164" s="6">
        <f>IF(ISERROR(VLOOKUP($U$164,'TAR FIN'!$A$1:$O$85,15,0)),0,VLOOKUP($U$164,'TAR FIN'!$A$1:$O$85,15,0))</f>
        <v>177.53</v>
      </c>
      <c r="Y164" s="6"/>
      <c r="Z164" s="6">
        <f ca="1">('TUSD BE'!$AM$33+'TUSD BF'!$AM$33+'TUSD CVA'!$AM$33)*(1-CUSTOS!$M$38)</f>
        <v>983.68270772870949</v>
      </c>
      <c r="AA164" s="6">
        <f>('TE BE'!$AA$23+'TE BF'!$AA$23+'TE CVA'!$AA$23)*(1-CUSTOS!$M$38)</f>
        <v>212.24710244942861</v>
      </c>
      <c r="AB164" s="6">
        <f>$K$164*$V$164</f>
        <v>0</v>
      </c>
      <c r="AC164" s="6">
        <f>$M$164*$W$164</f>
        <v>43.493399999999994</v>
      </c>
      <c r="AD164" s="6">
        <f>$O$164*$X$164</f>
        <v>10.6518</v>
      </c>
      <c r="AE164" s="6">
        <f>$K$164*$Y$164</f>
        <v>0</v>
      </c>
      <c r="AF164" s="6">
        <f ca="1">$M$164*$Z$164</f>
        <v>59.020962463722569</v>
      </c>
      <c r="AG164" s="6">
        <f>$O$164*$AA$164</f>
        <v>12.734826146965716</v>
      </c>
    </row>
    <row r="165" spans="1:33" ht="11.25" customHeight="1" x14ac:dyDescent="0.3">
      <c r="A165" s="4" t="s">
        <v>21</v>
      </c>
      <c r="B165" s="4" t="s">
        <v>40</v>
      </c>
      <c r="C165" s="4" t="s">
        <v>23</v>
      </c>
      <c r="D165" s="4" t="s">
        <v>41</v>
      </c>
      <c r="E165" s="4" t="s">
        <v>49</v>
      </c>
      <c r="F165" s="4" t="s">
        <v>50</v>
      </c>
      <c r="G165" s="4" t="s">
        <v>25</v>
      </c>
      <c r="H165" s="4" t="s">
        <v>25</v>
      </c>
      <c r="I165" s="5">
        <v>44348</v>
      </c>
      <c r="J165" s="6">
        <v>0</v>
      </c>
      <c r="K165" s="6">
        <v>0</v>
      </c>
      <c r="L165" s="6">
        <v>0.05</v>
      </c>
      <c r="M165" s="6">
        <v>0.05</v>
      </c>
      <c r="N165" s="6">
        <v>0.05</v>
      </c>
      <c r="O165" s="6">
        <v>0.05</v>
      </c>
      <c r="P165" s="6">
        <v>0</v>
      </c>
      <c r="Q165" s="4" t="s">
        <v>26</v>
      </c>
      <c r="R165" s="4">
        <v>0</v>
      </c>
      <c r="S165" s="6">
        <v>0</v>
      </c>
      <c r="T165" s="6">
        <v>74</v>
      </c>
      <c r="U165" s="6">
        <v>21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724.89</v>
      </c>
      <c r="X165" s="6">
        <f>IF(ISERROR(VLOOKUP($U$165,'TAR FIN'!$A$1:$O$85,15,0)),0,VLOOKUP($U$165,'TAR FIN'!$A$1:$O$85,15,0))</f>
        <v>177.53</v>
      </c>
      <c r="Y165" s="6"/>
      <c r="Z165" s="6">
        <f ca="1">('TUSD BE'!$AM$33+'TUSD BF'!$AM$33+'TUSD CVA'!$AM$33)*(1-CUSTOS!$M$38)</f>
        <v>983.68270772870949</v>
      </c>
      <c r="AA165" s="6">
        <f>('TE BE'!$AA$23+'TE BF'!$AA$23+'TE CVA'!$AA$23)*(1-CUSTOS!$M$38)</f>
        <v>212.24710244942861</v>
      </c>
      <c r="AB165" s="6">
        <f>$K$165*$V$165</f>
        <v>0</v>
      </c>
      <c r="AC165" s="6">
        <f>$M$165*$W$165</f>
        <v>36.244500000000002</v>
      </c>
      <c r="AD165" s="6">
        <f>$O$165*$X$165</f>
        <v>8.8765000000000001</v>
      </c>
      <c r="AE165" s="6">
        <f>$K$165*$Y$165</f>
        <v>0</v>
      </c>
      <c r="AF165" s="6">
        <f ca="1">$M$165*$Z$165</f>
        <v>49.184135386435479</v>
      </c>
      <c r="AG165" s="6">
        <f>$O$165*$AA$165</f>
        <v>10.612355122471431</v>
      </c>
    </row>
    <row r="166" spans="1:33" ht="11.25" customHeight="1" x14ac:dyDescent="0.3">
      <c r="A166" s="4" t="s">
        <v>21</v>
      </c>
      <c r="B166" s="4" t="s">
        <v>40</v>
      </c>
      <c r="C166" s="4" t="s">
        <v>23</v>
      </c>
      <c r="D166" s="4" t="s">
        <v>41</v>
      </c>
      <c r="E166" s="4" t="s">
        <v>49</v>
      </c>
      <c r="F166" s="4" t="s">
        <v>50</v>
      </c>
      <c r="G166" s="4" t="s">
        <v>25</v>
      </c>
      <c r="H166" s="4" t="s">
        <v>25</v>
      </c>
      <c r="I166" s="5">
        <v>44378</v>
      </c>
      <c r="J166" s="6">
        <v>0</v>
      </c>
      <c r="K166" s="6">
        <v>0</v>
      </c>
      <c r="L166" s="6">
        <v>0.05</v>
      </c>
      <c r="M166" s="6">
        <v>0.05</v>
      </c>
      <c r="N166" s="6">
        <v>0.05</v>
      </c>
      <c r="O166" s="6">
        <v>0.05</v>
      </c>
      <c r="P166" s="6">
        <v>0</v>
      </c>
      <c r="Q166" s="4" t="s">
        <v>26</v>
      </c>
      <c r="R166" s="4">
        <v>0</v>
      </c>
      <c r="S166" s="6">
        <v>0</v>
      </c>
      <c r="T166" s="6">
        <v>74</v>
      </c>
      <c r="U166" s="6">
        <v>21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724.89</v>
      </c>
      <c r="X166" s="6">
        <f>IF(ISERROR(VLOOKUP($U$166,'TAR FIN'!$A$1:$O$85,15,0)),0,VLOOKUP($U$166,'TAR FIN'!$A$1:$O$85,15,0))</f>
        <v>177.53</v>
      </c>
      <c r="Y166" s="6"/>
      <c r="Z166" s="6">
        <f ca="1">('TUSD BE'!$AM$33+'TUSD BF'!$AM$33+'TUSD CVA'!$AM$33)*(1-CUSTOS!$M$38)</f>
        <v>983.68270772870949</v>
      </c>
      <c r="AA166" s="6">
        <f>('TE BE'!$AA$23+'TE BF'!$AA$23+'TE CVA'!$AA$23)*(1-CUSTOS!$M$38)</f>
        <v>212.24710244942861</v>
      </c>
      <c r="AB166" s="6">
        <f>$K$166*$V$166</f>
        <v>0</v>
      </c>
      <c r="AC166" s="6">
        <f>$M$166*$W$166</f>
        <v>36.244500000000002</v>
      </c>
      <c r="AD166" s="6">
        <f>$O$166*$X$166</f>
        <v>8.8765000000000001</v>
      </c>
      <c r="AE166" s="6">
        <f>$K$166*$Y$166</f>
        <v>0</v>
      </c>
      <c r="AF166" s="6">
        <f ca="1">$M$166*$Z$166</f>
        <v>49.184135386435479</v>
      </c>
      <c r="AG166" s="6">
        <f>$O$166*$AA$166</f>
        <v>10.612355122471431</v>
      </c>
    </row>
    <row r="167" spans="1:33" ht="11.25" customHeight="1" x14ac:dyDescent="0.3">
      <c r="A167" s="4" t="s">
        <v>21</v>
      </c>
      <c r="B167" s="4" t="s">
        <v>40</v>
      </c>
      <c r="C167" s="4" t="s">
        <v>23</v>
      </c>
      <c r="D167" s="4" t="s">
        <v>41</v>
      </c>
      <c r="E167" s="4" t="s">
        <v>49</v>
      </c>
      <c r="F167" s="4" t="s">
        <v>50</v>
      </c>
      <c r="G167" s="4" t="s">
        <v>25</v>
      </c>
      <c r="H167" s="4" t="s">
        <v>25</v>
      </c>
      <c r="I167" s="5">
        <v>44409</v>
      </c>
      <c r="J167" s="6">
        <v>0</v>
      </c>
      <c r="K167" s="6">
        <v>0</v>
      </c>
      <c r="L167" s="6">
        <v>0.17299999999999999</v>
      </c>
      <c r="M167" s="6">
        <v>0.17299999999999999</v>
      </c>
      <c r="N167" s="6">
        <v>0.17299999999999999</v>
      </c>
      <c r="O167" s="6">
        <v>0.17299999999999999</v>
      </c>
      <c r="P167" s="6">
        <v>0</v>
      </c>
      <c r="Q167" s="4" t="s">
        <v>26</v>
      </c>
      <c r="R167" s="4">
        <v>0</v>
      </c>
      <c r="S167" s="6">
        <v>0</v>
      </c>
      <c r="T167" s="6">
        <v>74</v>
      </c>
      <c r="U167" s="6">
        <v>21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724.89</v>
      </c>
      <c r="X167" s="6">
        <f>IF(ISERROR(VLOOKUP($U$167,'TAR FIN'!$A$1:$O$85,15,0)),0,VLOOKUP($U$167,'TAR FIN'!$A$1:$O$85,15,0))</f>
        <v>177.53</v>
      </c>
      <c r="Y167" s="6"/>
      <c r="Z167" s="6">
        <f ca="1">('TUSD BE'!$AM$33+'TUSD BF'!$AM$33+'TUSD CVA'!$AM$33)*(1-CUSTOS!$M$38)</f>
        <v>983.68270772870949</v>
      </c>
      <c r="AA167" s="6">
        <f>('TE BE'!$AA$23+'TE BF'!$AA$23+'TE CVA'!$AA$23)*(1-CUSTOS!$M$38)</f>
        <v>212.24710244942861</v>
      </c>
      <c r="AB167" s="6">
        <f>$K$167*$V$167</f>
        <v>0</v>
      </c>
      <c r="AC167" s="6">
        <f>$M$167*$W$167</f>
        <v>125.40596999999998</v>
      </c>
      <c r="AD167" s="6">
        <f>$O$167*$X$167</f>
        <v>30.712689999999998</v>
      </c>
      <c r="AE167" s="6">
        <f>$K$167*$Y$167</f>
        <v>0</v>
      </c>
      <c r="AF167" s="6">
        <f ca="1">$M$167*$Z$167</f>
        <v>170.17710843706672</v>
      </c>
      <c r="AG167" s="6">
        <f>$O$167*$AA$167</f>
        <v>36.718748723751148</v>
      </c>
    </row>
    <row r="168" spans="1:33" ht="11.25" customHeight="1" x14ac:dyDescent="0.3">
      <c r="A168" s="4" t="s">
        <v>21</v>
      </c>
      <c r="B168" s="4" t="s">
        <v>40</v>
      </c>
      <c r="C168" s="4" t="s">
        <v>23</v>
      </c>
      <c r="D168" s="4" t="s">
        <v>41</v>
      </c>
      <c r="E168" s="4" t="s">
        <v>49</v>
      </c>
      <c r="F168" s="4" t="s">
        <v>50</v>
      </c>
      <c r="G168" s="4" t="s">
        <v>25</v>
      </c>
      <c r="H168" s="4" t="s">
        <v>25</v>
      </c>
      <c r="I168" s="5">
        <v>44440</v>
      </c>
      <c r="J168" s="6">
        <v>0</v>
      </c>
      <c r="K168" s="6">
        <v>0</v>
      </c>
      <c r="L168" s="6">
        <v>0.127</v>
      </c>
      <c r="M168" s="6">
        <v>0.127</v>
      </c>
      <c r="N168" s="6">
        <v>0.127</v>
      </c>
      <c r="O168" s="6">
        <v>0.127</v>
      </c>
      <c r="P168" s="6">
        <v>0</v>
      </c>
      <c r="Q168" s="4" t="s">
        <v>26</v>
      </c>
      <c r="R168" s="4">
        <v>0</v>
      </c>
      <c r="S168" s="6">
        <v>0</v>
      </c>
      <c r="T168" s="6">
        <v>74</v>
      </c>
      <c r="U168" s="6">
        <v>21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724.89</v>
      </c>
      <c r="X168" s="6">
        <f>IF(ISERROR(VLOOKUP($U$168,'TAR FIN'!$A$1:$O$85,15,0)),0,VLOOKUP($U$168,'TAR FIN'!$A$1:$O$85,15,0))</f>
        <v>177.53</v>
      </c>
      <c r="Y168" s="6"/>
      <c r="Z168" s="6">
        <f ca="1">('TUSD BE'!$AM$33+'TUSD BF'!$AM$33+'TUSD CVA'!$AM$33)*(1-CUSTOS!$M$38)</f>
        <v>983.68270772870949</v>
      </c>
      <c r="AA168" s="6">
        <f>('TE BE'!$AA$23+'TE BF'!$AA$23+'TE CVA'!$AA$23)*(1-CUSTOS!$M$38)</f>
        <v>212.24710244942861</v>
      </c>
      <c r="AB168" s="6">
        <f>$K$168*$V$168</f>
        <v>0</v>
      </c>
      <c r="AC168" s="6">
        <f>$M$168*$W$168</f>
        <v>92.061030000000002</v>
      </c>
      <c r="AD168" s="6">
        <f>$O$168*$X$168</f>
        <v>22.546310000000002</v>
      </c>
      <c r="AE168" s="6">
        <f>$K$168*$Y$168</f>
        <v>0</v>
      </c>
      <c r="AF168" s="6">
        <f ca="1">$M$168*$Z$168</f>
        <v>124.92770388154611</v>
      </c>
      <c r="AG168" s="6">
        <f>$O$168*$AA$168</f>
        <v>26.955382011077432</v>
      </c>
    </row>
    <row r="169" spans="1:33" ht="11.25" customHeight="1" x14ac:dyDescent="0.3">
      <c r="A169" s="4" t="s">
        <v>21</v>
      </c>
      <c r="B169" s="4" t="s">
        <v>40</v>
      </c>
      <c r="C169" s="4" t="s">
        <v>23</v>
      </c>
      <c r="D169" s="4" t="s">
        <v>41</v>
      </c>
      <c r="E169" s="4" t="s">
        <v>49</v>
      </c>
      <c r="F169" s="4" t="s">
        <v>50</v>
      </c>
      <c r="G169" s="4" t="s">
        <v>25</v>
      </c>
      <c r="H169" s="4" t="s">
        <v>25</v>
      </c>
      <c r="I169" s="5">
        <v>44470</v>
      </c>
      <c r="J169" s="6">
        <v>0</v>
      </c>
      <c r="K169" s="6">
        <v>0</v>
      </c>
      <c r="L169" s="6">
        <v>0.05</v>
      </c>
      <c r="M169" s="6">
        <v>0.05</v>
      </c>
      <c r="N169" s="6">
        <v>0.05</v>
      </c>
      <c r="O169" s="6">
        <v>0.05</v>
      </c>
      <c r="P169" s="6">
        <v>0</v>
      </c>
      <c r="Q169" s="4" t="s">
        <v>26</v>
      </c>
      <c r="R169" s="4">
        <v>0</v>
      </c>
      <c r="S169" s="6">
        <v>0</v>
      </c>
      <c r="T169" s="6">
        <v>74</v>
      </c>
      <c r="U169" s="6">
        <v>21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724.89</v>
      </c>
      <c r="X169" s="6">
        <f>IF(ISERROR(VLOOKUP($U$169,'TAR FIN'!$A$1:$O$85,15,0)),0,VLOOKUP($U$169,'TAR FIN'!$A$1:$O$85,15,0))</f>
        <v>177.53</v>
      </c>
      <c r="Y169" s="6"/>
      <c r="Z169" s="6">
        <f ca="1">('TUSD BE'!$AM$33+'TUSD BF'!$AM$33+'TUSD CVA'!$AM$33)*(1-CUSTOS!$M$38)</f>
        <v>983.68270772870949</v>
      </c>
      <c r="AA169" s="6">
        <f>('TE BE'!$AA$23+'TE BF'!$AA$23+'TE CVA'!$AA$23)*(1-CUSTOS!$M$38)</f>
        <v>212.24710244942861</v>
      </c>
      <c r="AB169" s="6">
        <f>$K$169*$V$169</f>
        <v>0</v>
      </c>
      <c r="AC169" s="6">
        <f>$M$169*$W$169</f>
        <v>36.244500000000002</v>
      </c>
      <c r="AD169" s="6">
        <f>$O$169*$X$169</f>
        <v>8.8765000000000001</v>
      </c>
      <c r="AE169" s="6">
        <f>$K$169*$Y$169</f>
        <v>0</v>
      </c>
      <c r="AF169" s="6">
        <f ca="1">$M$169*$Z$169</f>
        <v>49.184135386435479</v>
      </c>
      <c r="AG169" s="6">
        <f>$O$169*$AA$169</f>
        <v>10.612355122471431</v>
      </c>
    </row>
    <row r="170" spans="1:33" ht="11.25" customHeight="1" x14ac:dyDescent="0.3">
      <c r="A170" s="4" t="s">
        <v>21</v>
      </c>
      <c r="B170" s="4" t="s">
        <v>40</v>
      </c>
      <c r="C170" s="4" t="s">
        <v>23</v>
      </c>
      <c r="D170" s="4" t="s">
        <v>41</v>
      </c>
      <c r="E170" s="4" t="s">
        <v>49</v>
      </c>
      <c r="F170" s="4" t="s">
        <v>50</v>
      </c>
      <c r="G170" s="4" t="s">
        <v>25</v>
      </c>
      <c r="H170" s="4" t="s">
        <v>25</v>
      </c>
      <c r="I170" s="5">
        <v>44501</v>
      </c>
      <c r="J170" s="6">
        <v>0</v>
      </c>
      <c r="K170" s="6">
        <v>0</v>
      </c>
      <c r="L170" s="6">
        <v>0.05</v>
      </c>
      <c r="M170" s="6">
        <v>0.05</v>
      </c>
      <c r="N170" s="6">
        <v>0.05</v>
      </c>
      <c r="O170" s="6">
        <v>0.05</v>
      </c>
      <c r="P170" s="6">
        <v>0</v>
      </c>
      <c r="Q170" s="4" t="s">
        <v>26</v>
      </c>
      <c r="R170" s="4">
        <v>0</v>
      </c>
      <c r="S170" s="6">
        <v>0</v>
      </c>
      <c r="T170" s="6">
        <v>74</v>
      </c>
      <c r="U170" s="6">
        <v>21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724.89</v>
      </c>
      <c r="X170" s="6">
        <f>IF(ISERROR(VLOOKUP($U$170,'TAR FIN'!$A$1:$O$85,15,0)),0,VLOOKUP($U$170,'TAR FIN'!$A$1:$O$85,15,0))</f>
        <v>177.53</v>
      </c>
      <c r="Y170" s="6"/>
      <c r="Z170" s="6">
        <f ca="1">('TUSD BE'!$AM$33+'TUSD BF'!$AM$33+'TUSD CVA'!$AM$33)*(1-CUSTOS!$M$38)</f>
        <v>983.68270772870949</v>
      </c>
      <c r="AA170" s="6">
        <f>('TE BE'!$AA$23+'TE BF'!$AA$23+'TE CVA'!$AA$23)*(1-CUSTOS!$M$38)</f>
        <v>212.24710244942861</v>
      </c>
      <c r="AB170" s="6">
        <f>$K$170*$V$170</f>
        <v>0</v>
      </c>
      <c r="AC170" s="6">
        <f>$M$170*$W$170</f>
        <v>36.244500000000002</v>
      </c>
      <c r="AD170" s="6">
        <f>$O$170*$X$170</f>
        <v>8.8765000000000001</v>
      </c>
      <c r="AE170" s="6">
        <f>$K$170*$Y$170</f>
        <v>0</v>
      </c>
      <c r="AF170" s="6">
        <f ca="1">$M$170*$Z$170</f>
        <v>49.184135386435479</v>
      </c>
      <c r="AG170" s="6">
        <f>$O$170*$AA$170</f>
        <v>10.612355122471431</v>
      </c>
    </row>
    <row r="171" spans="1:33" ht="11.25" customHeight="1" x14ac:dyDescent="0.3">
      <c r="A171" s="4" t="s">
        <v>21</v>
      </c>
      <c r="B171" s="4" t="s">
        <v>40</v>
      </c>
      <c r="C171" s="4" t="s">
        <v>23</v>
      </c>
      <c r="D171" s="4" t="s">
        <v>41</v>
      </c>
      <c r="E171" s="4" t="s">
        <v>49</v>
      </c>
      <c r="F171" s="4" t="s">
        <v>50</v>
      </c>
      <c r="G171" s="4" t="s">
        <v>25</v>
      </c>
      <c r="H171" s="4" t="s">
        <v>25</v>
      </c>
      <c r="I171" s="5">
        <v>44531</v>
      </c>
      <c r="J171" s="6">
        <v>0</v>
      </c>
      <c r="K171" s="6">
        <v>0</v>
      </c>
      <c r="L171" s="6">
        <v>0.05</v>
      </c>
      <c r="M171" s="6">
        <v>0.05</v>
      </c>
      <c r="N171" s="6">
        <v>0.05</v>
      </c>
      <c r="O171" s="6">
        <v>0.05</v>
      </c>
      <c r="P171" s="6">
        <v>0</v>
      </c>
      <c r="Q171" s="4" t="s">
        <v>26</v>
      </c>
      <c r="R171" s="4">
        <v>0</v>
      </c>
      <c r="S171" s="6">
        <v>0</v>
      </c>
      <c r="T171" s="6">
        <v>74</v>
      </c>
      <c r="U171" s="6">
        <v>21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724.89</v>
      </c>
      <c r="X171" s="6">
        <f>IF(ISERROR(VLOOKUP($U$171,'TAR FIN'!$A$1:$O$85,15,0)),0,VLOOKUP($U$171,'TAR FIN'!$A$1:$O$85,15,0))</f>
        <v>177.53</v>
      </c>
      <c r="Y171" s="6"/>
      <c r="Z171" s="6">
        <f ca="1">('TUSD BE'!$AM$33+'TUSD BF'!$AM$33+'TUSD CVA'!$AM$33)*(1-CUSTOS!$M$38)</f>
        <v>983.68270772870949</v>
      </c>
      <c r="AA171" s="6">
        <f>('TE BE'!$AA$23+'TE BF'!$AA$23+'TE CVA'!$AA$23)*(1-CUSTOS!$M$38)</f>
        <v>212.24710244942861</v>
      </c>
      <c r="AB171" s="6">
        <f>$K$171*$V$171</f>
        <v>0</v>
      </c>
      <c r="AC171" s="6">
        <f>$M$171*$W$171</f>
        <v>36.244500000000002</v>
      </c>
      <c r="AD171" s="6">
        <f>$O$171*$X$171</f>
        <v>8.8765000000000001</v>
      </c>
      <c r="AE171" s="6">
        <f>$K$171*$Y$171</f>
        <v>0</v>
      </c>
      <c r="AF171" s="6">
        <f ca="1">$M$171*$Z$171</f>
        <v>49.184135386435479</v>
      </c>
      <c r="AG171" s="6">
        <f>$O$171*$AA$171</f>
        <v>10.612355122471431</v>
      </c>
    </row>
    <row r="172" spans="1:33" ht="11.25" customHeight="1" x14ac:dyDescent="0.3">
      <c r="A172" s="4" t="s">
        <v>21</v>
      </c>
      <c r="B172" s="4" t="s">
        <v>40</v>
      </c>
      <c r="C172" s="4" t="s">
        <v>23</v>
      </c>
      <c r="D172" s="4" t="s">
        <v>41</v>
      </c>
      <c r="E172" s="4" t="s">
        <v>49</v>
      </c>
      <c r="F172" s="4" t="s">
        <v>50</v>
      </c>
      <c r="G172" s="4" t="s">
        <v>25</v>
      </c>
      <c r="H172" s="4" t="s">
        <v>25</v>
      </c>
      <c r="I172" s="5">
        <v>44562</v>
      </c>
      <c r="J172" s="6">
        <v>0</v>
      </c>
      <c r="K172" s="6">
        <v>0</v>
      </c>
      <c r="L172" s="6">
        <v>0.05</v>
      </c>
      <c r="M172" s="6">
        <v>0.05</v>
      </c>
      <c r="N172" s="6">
        <v>0.05</v>
      </c>
      <c r="O172" s="6">
        <v>0.05</v>
      </c>
      <c r="P172" s="6">
        <v>0</v>
      </c>
      <c r="Q172" s="4" t="s">
        <v>26</v>
      </c>
      <c r="R172" s="4">
        <v>0</v>
      </c>
      <c r="S172" s="6">
        <v>0</v>
      </c>
      <c r="T172" s="6">
        <v>74</v>
      </c>
      <c r="U172" s="6">
        <v>21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724.89</v>
      </c>
      <c r="X172" s="6">
        <f>IF(ISERROR(VLOOKUP($U$172,'TAR FIN'!$A$1:$O$85,15,0)),0,VLOOKUP($U$172,'TAR FIN'!$A$1:$O$85,15,0))</f>
        <v>177.53</v>
      </c>
      <c r="Y172" s="6"/>
      <c r="Z172" s="6">
        <f ca="1">('TUSD BE'!$AM$33+'TUSD BF'!$AM$33+'TUSD CVA'!$AM$33)*(1-CUSTOS!$M$38)</f>
        <v>983.68270772870949</v>
      </c>
      <c r="AA172" s="6">
        <f>('TE BE'!$AA$23+'TE BF'!$AA$23+'TE CVA'!$AA$23)*(1-CUSTOS!$M$38)</f>
        <v>212.24710244942861</v>
      </c>
      <c r="AB172" s="6">
        <f>$K$172*$V$172</f>
        <v>0</v>
      </c>
      <c r="AC172" s="6">
        <f>$M$172*$W$172</f>
        <v>36.244500000000002</v>
      </c>
      <c r="AD172" s="6">
        <f>$O$172*$X$172</f>
        <v>8.8765000000000001</v>
      </c>
      <c r="AE172" s="6">
        <f>$K$172*$Y$172</f>
        <v>0</v>
      </c>
      <c r="AF172" s="6">
        <f ca="1">$M$172*$Z$172</f>
        <v>49.184135386435479</v>
      </c>
      <c r="AG172" s="6">
        <f>$O$172*$AA$172</f>
        <v>10.612355122471431</v>
      </c>
    </row>
    <row r="173" spans="1:33" ht="11.25" customHeight="1" x14ac:dyDescent="0.3">
      <c r="A173" s="4" t="s">
        <v>21</v>
      </c>
      <c r="B173" s="4" t="s">
        <v>40</v>
      </c>
      <c r="C173" s="4" t="s">
        <v>23</v>
      </c>
      <c r="D173" s="4" t="s">
        <v>41</v>
      </c>
      <c r="E173" s="4" t="s">
        <v>49</v>
      </c>
      <c r="F173" s="4" t="s">
        <v>50</v>
      </c>
      <c r="G173" s="4" t="s">
        <v>25</v>
      </c>
      <c r="H173" s="4" t="s">
        <v>25</v>
      </c>
      <c r="I173" s="5">
        <v>44593</v>
      </c>
      <c r="J173" s="6">
        <v>0</v>
      </c>
      <c r="K173" s="6">
        <v>0</v>
      </c>
      <c r="L173" s="6">
        <v>0.05</v>
      </c>
      <c r="M173" s="6">
        <v>0.05</v>
      </c>
      <c r="N173" s="6">
        <v>0.05</v>
      </c>
      <c r="O173" s="6">
        <v>0.05</v>
      </c>
      <c r="P173" s="6">
        <v>0</v>
      </c>
      <c r="Q173" s="4" t="s">
        <v>26</v>
      </c>
      <c r="R173" s="4">
        <v>0</v>
      </c>
      <c r="S173" s="6">
        <v>0</v>
      </c>
      <c r="T173" s="6">
        <v>74</v>
      </c>
      <c r="U173" s="6">
        <v>21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724.89</v>
      </c>
      <c r="X173" s="6">
        <f>IF(ISERROR(VLOOKUP($U$173,'TAR FIN'!$A$1:$O$85,15,0)),0,VLOOKUP($U$173,'TAR FIN'!$A$1:$O$85,15,0))</f>
        <v>177.53</v>
      </c>
      <c r="Y173" s="6"/>
      <c r="Z173" s="6">
        <f ca="1">('TUSD BE'!$AM$33+'TUSD BF'!$AM$33+'TUSD CVA'!$AM$33)*(1-CUSTOS!$M$38)</f>
        <v>983.68270772870949</v>
      </c>
      <c r="AA173" s="6">
        <f>('TE BE'!$AA$23+'TE BF'!$AA$23+'TE CVA'!$AA$23)*(1-CUSTOS!$M$38)</f>
        <v>212.24710244942861</v>
      </c>
      <c r="AB173" s="6">
        <f>$K$173*$V$173</f>
        <v>0</v>
      </c>
      <c r="AC173" s="6">
        <f>$M$173*$W$173</f>
        <v>36.244500000000002</v>
      </c>
      <c r="AD173" s="6">
        <f>$O$173*$X$173</f>
        <v>8.8765000000000001</v>
      </c>
      <c r="AE173" s="6">
        <f>$K$173*$Y$173</f>
        <v>0</v>
      </c>
      <c r="AF173" s="6">
        <f ca="1">$M$173*$Z$173</f>
        <v>49.184135386435479</v>
      </c>
      <c r="AG173" s="6">
        <f>$O$173*$AA$173</f>
        <v>10.612355122471431</v>
      </c>
    </row>
    <row r="174" spans="1:33" ht="11.25" customHeight="1" x14ac:dyDescent="0.3">
      <c r="A174" s="4" t="s">
        <v>21</v>
      </c>
      <c r="B174" s="4" t="s">
        <v>40</v>
      </c>
      <c r="C174" s="4" t="s">
        <v>23</v>
      </c>
      <c r="D174" s="4" t="s">
        <v>41</v>
      </c>
      <c r="E174" s="4" t="s">
        <v>49</v>
      </c>
      <c r="F174" s="4" t="s">
        <v>50</v>
      </c>
      <c r="G174" s="4" t="s">
        <v>25</v>
      </c>
      <c r="H174" s="4" t="s">
        <v>25</v>
      </c>
      <c r="I174" s="5">
        <v>44621</v>
      </c>
      <c r="J174" s="6">
        <v>0</v>
      </c>
      <c r="K174" s="6">
        <v>0</v>
      </c>
      <c r="L174" s="6">
        <v>0.05</v>
      </c>
      <c r="M174" s="6">
        <v>0.05</v>
      </c>
      <c r="N174" s="6">
        <v>0.05</v>
      </c>
      <c r="O174" s="6">
        <v>0.05</v>
      </c>
      <c r="P174" s="6">
        <v>0</v>
      </c>
      <c r="Q174" s="4" t="s">
        <v>26</v>
      </c>
      <c r="R174" s="4">
        <v>0</v>
      </c>
      <c r="S174" s="6">
        <v>0</v>
      </c>
      <c r="T174" s="6">
        <v>74</v>
      </c>
      <c r="U174" s="6">
        <v>21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724.89</v>
      </c>
      <c r="X174" s="6">
        <f>IF(ISERROR(VLOOKUP($U$174,'TAR FIN'!$A$1:$O$85,15,0)),0,VLOOKUP($U$174,'TAR FIN'!$A$1:$O$85,15,0))</f>
        <v>177.53</v>
      </c>
      <c r="Y174" s="6"/>
      <c r="Z174" s="6">
        <f ca="1">('TUSD BE'!$AM$33+'TUSD BF'!$AM$33+'TUSD CVA'!$AM$33)*(1-CUSTOS!$M$38)</f>
        <v>983.68270772870949</v>
      </c>
      <c r="AA174" s="6">
        <f>('TE BE'!$AA$23+'TE BF'!$AA$23+'TE CVA'!$AA$23)*(1-CUSTOS!$M$38)</f>
        <v>212.24710244942861</v>
      </c>
      <c r="AB174" s="6">
        <f>$K$174*$V$174</f>
        <v>0</v>
      </c>
      <c r="AC174" s="6">
        <f>$M$174*$W$174</f>
        <v>36.244500000000002</v>
      </c>
      <c r="AD174" s="6">
        <f>$O$174*$X$174</f>
        <v>8.8765000000000001</v>
      </c>
      <c r="AE174" s="6">
        <f>$K$174*$Y$174</f>
        <v>0</v>
      </c>
      <c r="AF174" s="6">
        <f ca="1">$M$174*$Z$174</f>
        <v>49.184135386435479</v>
      </c>
      <c r="AG174" s="6">
        <f>$O$174*$AA$174</f>
        <v>10.612355122471431</v>
      </c>
    </row>
    <row r="175" spans="1:33" ht="11.25" customHeight="1" x14ac:dyDescent="0.3">
      <c r="A175" s="4" t="s">
        <v>21</v>
      </c>
      <c r="B175" s="4" t="s">
        <v>40</v>
      </c>
      <c r="C175" s="4" t="s">
        <v>23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44287</v>
      </c>
      <c r="J175" s="6">
        <v>0</v>
      </c>
      <c r="K175" s="6">
        <v>0</v>
      </c>
      <c r="L175" s="6">
        <v>127.32299999999999</v>
      </c>
      <c r="M175" s="6">
        <v>127.32299999999999</v>
      </c>
      <c r="N175" s="6">
        <v>127.32299999999999</v>
      </c>
      <c r="O175" s="6">
        <v>127.32299999999999</v>
      </c>
      <c r="P175" s="6">
        <v>263</v>
      </c>
      <c r="Q175" s="4" t="s">
        <v>26</v>
      </c>
      <c r="R175" s="4">
        <v>0</v>
      </c>
      <c r="S175" s="6">
        <v>0</v>
      </c>
      <c r="T175" s="6">
        <v>74</v>
      </c>
      <c r="U175" s="6">
        <v>21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724.89</v>
      </c>
      <c r="X175" s="6">
        <f>IF(ISERROR(VLOOKUP($U$175,'TAR FIN'!$A$1:$O$85,15,0)),0,VLOOKUP($U$175,'TAR FIN'!$A$1:$O$85,15,0))</f>
        <v>177.53</v>
      </c>
      <c r="Y175" s="6"/>
      <c r="Z175" s="6">
        <f ca="1">('TUSD BE'!$AM$33+'TUSD BF'!$AM$33+'TUSD CVA'!$AM$33)*(1-CUSTOS!$M$38)</f>
        <v>983.68270772870949</v>
      </c>
      <c r="AA175" s="6">
        <f>('TE BE'!$AA$23+'TE BF'!$AA$23+'TE CVA'!$AA$23)*(1-CUSTOS!$M$38)</f>
        <v>212.24710244942861</v>
      </c>
      <c r="AB175" s="6">
        <f>$K$175*$V$175</f>
        <v>0</v>
      </c>
      <c r="AC175" s="6">
        <f>$M$175*$W$175</f>
        <v>92295.169469999993</v>
      </c>
      <c r="AD175" s="6">
        <f>$O$175*$X$175</f>
        <v>22603.652190000001</v>
      </c>
      <c r="AE175" s="6">
        <f>$K$175*$Y$175</f>
        <v>0</v>
      </c>
      <c r="AF175" s="6">
        <f ca="1">$M$175*$Z$175</f>
        <v>125245.43339614247</v>
      </c>
      <c r="AG175" s="6">
        <f>$O$175*$AA$175</f>
        <v>27023.937825168596</v>
      </c>
    </row>
    <row r="176" spans="1:33" ht="11.25" customHeight="1" x14ac:dyDescent="0.3">
      <c r="A176" s="4" t="s">
        <v>27</v>
      </c>
      <c r="B176" s="4" t="s">
        <v>40</v>
      </c>
      <c r="C176" s="4" t="s">
        <v>23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44287</v>
      </c>
      <c r="J176" s="6">
        <v>0</v>
      </c>
      <c r="K176" s="6">
        <v>0</v>
      </c>
      <c r="L176" s="6">
        <v>-0.97699999999999998</v>
      </c>
      <c r="M176" s="6">
        <v>-0.97699999999999998</v>
      </c>
      <c r="N176" s="6">
        <v>-0.97699999999999998</v>
      </c>
      <c r="O176" s="6">
        <v>-0.97699999999999998</v>
      </c>
      <c r="P176" s="6">
        <v>0</v>
      </c>
      <c r="Q176" s="4" t="s">
        <v>26</v>
      </c>
      <c r="R176" s="4">
        <v>0</v>
      </c>
      <c r="S176" s="6">
        <v>0</v>
      </c>
      <c r="T176" s="6">
        <v>74</v>
      </c>
      <c r="U176" s="6">
        <v>21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724.89</v>
      </c>
      <c r="X176" s="6">
        <f>IF(ISERROR(VLOOKUP($U$176,'TAR FIN'!$A$1:$O$85,15,0)),0,VLOOKUP($U$176,'TAR FIN'!$A$1:$O$85,15,0))</f>
        <v>177.53</v>
      </c>
      <c r="Y176" s="6"/>
      <c r="Z176" s="6">
        <f ca="1">('TUSD BE'!$AM$33+'TUSD BF'!$AM$33+'TUSD CVA'!$AM$33)*(1-CUSTOS!$M$38)</f>
        <v>983.68270772870949</v>
      </c>
      <c r="AA176" s="6">
        <f>('TE BE'!$AA$23+'TE BF'!$AA$23+'TE CVA'!$AA$23)*(1-CUSTOS!$M$38)</f>
        <v>212.24710244942861</v>
      </c>
      <c r="AB176" s="6">
        <f>$K$176*$V$176</f>
        <v>0</v>
      </c>
      <c r="AC176" s="6">
        <f>$M$176*$W$176</f>
        <v>-708.21753000000001</v>
      </c>
      <c r="AD176" s="6">
        <f>$O$176*$X$176</f>
        <v>-173.44681</v>
      </c>
      <c r="AE176" s="6">
        <f>$K$176*$Y$176</f>
        <v>0</v>
      </c>
      <c r="AF176" s="6">
        <f ca="1">$M$176*$Z$176</f>
        <v>-961.05800545094917</v>
      </c>
      <c r="AG176" s="6">
        <f>$O$176*$AA$176</f>
        <v>-207.36541909309176</v>
      </c>
    </row>
    <row r="177" spans="1:33" ht="11.25" customHeight="1" x14ac:dyDescent="0.3">
      <c r="A177" s="4" t="s">
        <v>21</v>
      </c>
      <c r="B177" s="4" t="s">
        <v>40</v>
      </c>
      <c r="C177" s="4" t="s">
        <v>23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44317</v>
      </c>
      <c r="J177" s="6">
        <v>0</v>
      </c>
      <c r="K177" s="6">
        <v>0</v>
      </c>
      <c r="L177" s="6">
        <v>124.43600000000001</v>
      </c>
      <c r="M177" s="6">
        <v>124.43600000000001</v>
      </c>
      <c r="N177" s="6">
        <v>124.43600000000001</v>
      </c>
      <c r="O177" s="6">
        <v>124.43600000000001</v>
      </c>
      <c r="P177" s="6">
        <v>262</v>
      </c>
      <c r="Q177" s="4" t="s">
        <v>26</v>
      </c>
      <c r="R177" s="4">
        <v>0</v>
      </c>
      <c r="S177" s="6">
        <v>0</v>
      </c>
      <c r="T177" s="6">
        <v>74</v>
      </c>
      <c r="U177" s="6">
        <v>21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724.89</v>
      </c>
      <c r="X177" s="6">
        <f>IF(ISERROR(VLOOKUP($U$177,'TAR FIN'!$A$1:$O$85,15,0)),0,VLOOKUP($U$177,'TAR FIN'!$A$1:$O$85,15,0))</f>
        <v>177.53</v>
      </c>
      <c r="Y177" s="6"/>
      <c r="Z177" s="6">
        <f ca="1">('TUSD BE'!$AM$33+'TUSD BF'!$AM$33+'TUSD CVA'!$AM$33)*(1-CUSTOS!$M$38)</f>
        <v>983.68270772870949</v>
      </c>
      <c r="AA177" s="6">
        <f>('TE BE'!$AA$23+'TE BF'!$AA$23+'TE CVA'!$AA$23)*(1-CUSTOS!$M$38)</f>
        <v>212.24710244942861</v>
      </c>
      <c r="AB177" s="6">
        <f>$K$177*$V$177</f>
        <v>0</v>
      </c>
      <c r="AC177" s="6">
        <f>$M$177*$W$177</f>
        <v>90202.41204000001</v>
      </c>
      <c r="AD177" s="6">
        <f>$O$177*$X$177</f>
        <v>22091.123080000001</v>
      </c>
      <c r="AE177" s="6">
        <f>$K$177*$Y$177</f>
        <v>0</v>
      </c>
      <c r="AF177" s="6">
        <f ca="1">$M$177*$Z$177</f>
        <v>122405.5414189297</v>
      </c>
      <c r="AG177" s="6">
        <f>$O$177*$AA$177</f>
        <v>26411.1804403971</v>
      </c>
    </row>
    <row r="178" spans="1:33" ht="11.25" customHeight="1" x14ac:dyDescent="0.3">
      <c r="A178" s="4" t="s">
        <v>27</v>
      </c>
      <c r="B178" s="4" t="s">
        <v>40</v>
      </c>
      <c r="C178" s="4" t="s">
        <v>23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44317</v>
      </c>
      <c r="J178" s="6">
        <v>0</v>
      </c>
      <c r="K178" s="6">
        <v>0</v>
      </c>
      <c r="L178" s="6">
        <v>-7.9000000000000001E-2</v>
      </c>
      <c r="M178" s="6">
        <v>-7.9000000000000001E-2</v>
      </c>
      <c r="N178" s="6">
        <v>-7.9000000000000001E-2</v>
      </c>
      <c r="O178" s="6">
        <v>-7.9000000000000001E-2</v>
      </c>
      <c r="P178" s="6">
        <v>0</v>
      </c>
      <c r="Q178" s="4" t="s">
        <v>26</v>
      </c>
      <c r="R178" s="4">
        <v>0</v>
      </c>
      <c r="S178" s="6">
        <v>0</v>
      </c>
      <c r="T178" s="6">
        <v>74</v>
      </c>
      <c r="U178" s="6">
        <v>21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724.89</v>
      </c>
      <c r="X178" s="6">
        <f>IF(ISERROR(VLOOKUP($U$178,'TAR FIN'!$A$1:$O$85,15,0)),0,VLOOKUP($U$178,'TAR FIN'!$A$1:$O$85,15,0))</f>
        <v>177.53</v>
      </c>
      <c r="Y178" s="6"/>
      <c r="Z178" s="6">
        <f ca="1">('TUSD BE'!$AM$33+'TUSD BF'!$AM$33+'TUSD CVA'!$AM$33)*(1-CUSTOS!$M$38)</f>
        <v>983.68270772870949</v>
      </c>
      <c r="AA178" s="6">
        <f>('TE BE'!$AA$23+'TE BF'!$AA$23+'TE CVA'!$AA$23)*(1-CUSTOS!$M$38)</f>
        <v>212.24710244942861</v>
      </c>
      <c r="AB178" s="6">
        <f>$K$178*$V$178</f>
        <v>0</v>
      </c>
      <c r="AC178" s="6">
        <f>$M$178*$W$178</f>
        <v>-57.266309999999997</v>
      </c>
      <c r="AD178" s="6">
        <f>$O$178*$X$178</f>
        <v>-14.02487</v>
      </c>
      <c r="AE178" s="6">
        <f>$K$178*$Y$178</f>
        <v>0</v>
      </c>
      <c r="AF178" s="6">
        <f ca="1">$M$178*$Z$178</f>
        <v>-77.710933910568045</v>
      </c>
      <c r="AG178" s="6">
        <f>$O$178*$AA$178</f>
        <v>-16.767521093504861</v>
      </c>
    </row>
    <row r="179" spans="1:33" ht="11.25" customHeight="1" x14ac:dyDescent="0.3">
      <c r="A179" s="4" t="s">
        <v>21</v>
      </c>
      <c r="B179" s="4" t="s">
        <v>40</v>
      </c>
      <c r="C179" s="4" t="s">
        <v>23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44348</v>
      </c>
      <c r="J179" s="6">
        <v>0</v>
      </c>
      <c r="K179" s="6">
        <v>0</v>
      </c>
      <c r="L179" s="6">
        <v>129.67699999999999</v>
      </c>
      <c r="M179" s="6">
        <v>129.67699999999999</v>
      </c>
      <c r="N179" s="6">
        <v>129.67699999999999</v>
      </c>
      <c r="O179" s="6">
        <v>129.67699999999999</v>
      </c>
      <c r="P179" s="6">
        <v>261</v>
      </c>
      <c r="Q179" s="4" t="s">
        <v>26</v>
      </c>
      <c r="R179" s="4">
        <v>0</v>
      </c>
      <c r="S179" s="6">
        <v>0</v>
      </c>
      <c r="T179" s="6">
        <v>74</v>
      </c>
      <c r="U179" s="6">
        <v>21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724.89</v>
      </c>
      <c r="X179" s="6">
        <f>IF(ISERROR(VLOOKUP($U$179,'TAR FIN'!$A$1:$O$85,15,0)),0,VLOOKUP($U$179,'TAR FIN'!$A$1:$O$85,15,0))</f>
        <v>177.53</v>
      </c>
      <c r="Y179" s="6"/>
      <c r="Z179" s="6">
        <f ca="1">('TUSD BE'!$AM$33+'TUSD BF'!$AM$33+'TUSD CVA'!$AM$33)*(1-CUSTOS!$M$38)</f>
        <v>983.68270772870949</v>
      </c>
      <c r="AA179" s="6">
        <f>('TE BE'!$AA$23+'TE BF'!$AA$23+'TE CVA'!$AA$23)*(1-CUSTOS!$M$38)</f>
        <v>212.24710244942861</v>
      </c>
      <c r="AB179" s="6">
        <f>$K$179*$V$179</f>
        <v>0</v>
      </c>
      <c r="AC179" s="6">
        <f>$M$179*$W$179</f>
        <v>94001.560529999988</v>
      </c>
      <c r="AD179" s="6">
        <f>$O$179*$X$179</f>
        <v>23021.557809999998</v>
      </c>
      <c r="AE179" s="6">
        <f>$K$179*$Y$179</f>
        <v>0</v>
      </c>
      <c r="AF179" s="6">
        <f ca="1">$M$179*$Z$179</f>
        <v>127561.02249013586</v>
      </c>
      <c r="AG179" s="6">
        <f>$O$179*$AA$179</f>
        <v>27523.567504334551</v>
      </c>
    </row>
    <row r="180" spans="1:33" ht="11.25" customHeight="1" x14ac:dyDescent="0.3">
      <c r="A180" s="4" t="s">
        <v>27</v>
      </c>
      <c r="B180" s="4" t="s">
        <v>40</v>
      </c>
      <c r="C180" s="4" t="s">
        <v>23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44348</v>
      </c>
      <c r="J180" s="6">
        <v>0</v>
      </c>
      <c r="K180" s="6">
        <v>0</v>
      </c>
      <c r="L180" s="6">
        <v>-0.24099999999999999</v>
      </c>
      <c r="M180" s="6">
        <v>-0.24099999999999999</v>
      </c>
      <c r="N180" s="6">
        <v>-0.24099999999999999</v>
      </c>
      <c r="O180" s="6">
        <v>-0.24099999999999999</v>
      </c>
      <c r="P180" s="6">
        <v>0</v>
      </c>
      <c r="Q180" s="4" t="s">
        <v>26</v>
      </c>
      <c r="R180" s="4">
        <v>0</v>
      </c>
      <c r="S180" s="6">
        <v>0</v>
      </c>
      <c r="T180" s="6">
        <v>74</v>
      </c>
      <c r="U180" s="6">
        <v>21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724.89</v>
      </c>
      <c r="X180" s="6">
        <f>IF(ISERROR(VLOOKUP($U$180,'TAR FIN'!$A$1:$O$85,15,0)),0,VLOOKUP($U$180,'TAR FIN'!$A$1:$O$85,15,0))</f>
        <v>177.53</v>
      </c>
      <c r="Y180" s="6"/>
      <c r="Z180" s="6">
        <f ca="1">('TUSD BE'!$AM$33+'TUSD BF'!$AM$33+'TUSD CVA'!$AM$33)*(1-CUSTOS!$M$38)</f>
        <v>983.68270772870949</v>
      </c>
      <c r="AA180" s="6">
        <f>('TE BE'!$AA$23+'TE BF'!$AA$23+'TE CVA'!$AA$23)*(1-CUSTOS!$M$38)</f>
        <v>212.24710244942861</v>
      </c>
      <c r="AB180" s="6">
        <f>$K$180*$V$180</f>
        <v>0</v>
      </c>
      <c r="AC180" s="6">
        <f>$M$180*$W$180</f>
        <v>-174.69848999999999</v>
      </c>
      <c r="AD180" s="6">
        <f>$O$180*$X$180</f>
        <v>-42.784729999999996</v>
      </c>
      <c r="AE180" s="6">
        <f>$K$180*$Y$180</f>
        <v>0</v>
      </c>
      <c r="AF180" s="6">
        <f ca="1">$M$180*$Z$180</f>
        <v>-237.06753256261896</v>
      </c>
      <c r="AG180" s="6">
        <f>$O$180*$AA$180</f>
        <v>-51.151551690312296</v>
      </c>
    </row>
    <row r="181" spans="1:33" ht="11.25" customHeight="1" x14ac:dyDescent="0.3">
      <c r="A181" s="4" t="s">
        <v>21</v>
      </c>
      <c r="B181" s="4" t="s">
        <v>40</v>
      </c>
      <c r="C181" s="4" t="s">
        <v>23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44378</v>
      </c>
      <c r="J181" s="6">
        <v>0</v>
      </c>
      <c r="K181" s="6">
        <v>0</v>
      </c>
      <c r="L181" s="6">
        <v>118.70099999999999</v>
      </c>
      <c r="M181" s="6">
        <v>118.70099999999999</v>
      </c>
      <c r="N181" s="6">
        <v>118.70099999999999</v>
      </c>
      <c r="O181" s="6">
        <v>118.70099999999999</v>
      </c>
      <c r="P181" s="6">
        <v>261</v>
      </c>
      <c r="Q181" s="4" t="s">
        <v>26</v>
      </c>
      <c r="R181" s="4">
        <v>0</v>
      </c>
      <c r="S181" s="6">
        <v>0</v>
      </c>
      <c r="T181" s="6">
        <v>74</v>
      </c>
      <c r="U181" s="6">
        <v>21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724.89</v>
      </c>
      <c r="X181" s="6">
        <f>IF(ISERROR(VLOOKUP($U$181,'TAR FIN'!$A$1:$O$85,15,0)),0,VLOOKUP($U$181,'TAR FIN'!$A$1:$O$85,15,0))</f>
        <v>177.53</v>
      </c>
      <c r="Y181" s="6"/>
      <c r="Z181" s="6">
        <f ca="1">('TUSD BE'!$AM$33+'TUSD BF'!$AM$33+'TUSD CVA'!$AM$33)*(1-CUSTOS!$M$38)</f>
        <v>983.68270772870949</v>
      </c>
      <c r="AA181" s="6">
        <f>('TE BE'!$AA$23+'TE BF'!$AA$23+'TE CVA'!$AA$23)*(1-CUSTOS!$M$38)</f>
        <v>212.24710244942861</v>
      </c>
      <c r="AB181" s="6">
        <f>$K$181*$V$181</f>
        <v>0</v>
      </c>
      <c r="AC181" s="6">
        <f>$M$181*$W$181</f>
        <v>86045.167889999997</v>
      </c>
      <c r="AD181" s="6">
        <f>$O$181*$X$181</f>
        <v>21072.988529999999</v>
      </c>
      <c r="AE181" s="6">
        <f>$K$181*$Y$181</f>
        <v>0</v>
      </c>
      <c r="AF181" s="6">
        <f ca="1">$M$181*$Z$181</f>
        <v>116764.12109010555</v>
      </c>
      <c r="AG181" s="6">
        <f>$O$181*$AA$181</f>
        <v>25193.943307849622</v>
      </c>
    </row>
    <row r="182" spans="1:33" ht="11.25" customHeight="1" x14ac:dyDescent="0.3">
      <c r="A182" s="4" t="s">
        <v>27</v>
      </c>
      <c r="B182" s="4" t="s">
        <v>40</v>
      </c>
      <c r="C182" s="4" t="s">
        <v>23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44378</v>
      </c>
      <c r="J182" s="6">
        <v>0</v>
      </c>
      <c r="K182" s="6">
        <v>0</v>
      </c>
      <c r="L182" s="6">
        <v>-0.22700000000000001</v>
      </c>
      <c r="M182" s="6">
        <v>-0.22700000000000001</v>
      </c>
      <c r="N182" s="6">
        <v>-0.22700000000000001</v>
      </c>
      <c r="O182" s="6">
        <v>-0.22700000000000001</v>
      </c>
      <c r="P182" s="6">
        <v>0</v>
      </c>
      <c r="Q182" s="4" t="s">
        <v>26</v>
      </c>
      <c r="R182" s="4">
        <v>0</v>
      </c>
      <c r="S182" s="6">
        <v>0</v>
      </c>
      <c r="T182" s="6">
        <v>74</v>
      </c>
      <c r="U182" s="6">
        <v>21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724.89</v>
      </c>
      <c r="X182" s="6">
        <f>IF(ISERROR(VLOOKUP($U$182,'TAR FIN'!$A$1:$O$85,15,0)),0,VLOOKUP($U$182,'TAR FIN'!$A$1:$O$85,15,0))</f>
        <v>177.53</v>
      </c>
      <c r="Y182" s="6"/>
      <c r="Z182" s="6">
        <f ca="1">('TUSD BE'!$AM$33+'TUSD BF'!$AM$33+'TUSD CVA'!$AM$33)*(1-CUSTOS!$M$38)</f>
        <v>983.68270772870949</v>
      </c>
      <c r="AA182" s="6">
        <f>('TE BE'!$AA$23+'TE BF'!$AA$23+'TE CVA'!$AA$23)*(1-CUSTOS!$M$38)</f>
        <v>212.24710244942861</v>
      </c>
      <c r="AB182" s="6">
        <f>$K$182*$V$182</f>
        <v>0</v>
      </c>
      <c r="AC182" s="6">
        <f>$M$182*$W$182</f>
        <v>-164.55002999999999</v>
      </c>
      <c r="AD182" s="6">
        <f>$O$182*$X$182</f>
        <v>-40.299309999999998</v>
      </c>
      <c r="AE182" s="6">
        <f>$K$182*$Y$182</f>
        <v>0</v>
      </c>
      <c r="AF182" s="6">
        <f ca="1">$M$182*$Z$182</f>
        <v>-223.29597465441705</v>
      </c>
      <c r="AG182" s="6">
        <f>$O$182*$AA$182</f>
        <v>-48.180092256020295</v>
      </c>
    </row>
    <row r="183" spans="1:33" ht="11.25" customHeight="1" x14ac:dyDescent="0.3">
      <c r="A183" s="4" t="s">
        <v>21</v>
      </c>
      <c r="B183" s="4" t="s">
        <v>40</v>
      </c>
      <c r="C183" s="4" t="s">
        <v>23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44409</v>
      </c>
      <c r="J183" s="6">
        <v>0</v>
      </c>
      <c r="K183" s="6">
        <v>0</v>
      </c>
      <c r="L183" s="6">
        <v>122.214</v>
      </c>
      <c r="M183" s="6">
        <v>122.214</v>
      </c>
      <c r="N183" s="6">
        <v>122.214</v>
      </c>
      <c r="O183" s="6">
        <v>122.214</v>
      </c>
      <c r="P183" s="6">
        <v>261</v>
      </c>
      <c r="Q183" s="4" t="s">
        <v>26</v>
      </c>
      <c r="R183" s="4">
        <v>0</v>
      </c>
      <c r="S183" s="6">
        <v>0</v>
      </c>
      <c r="T183" s="6">
        <v>74</v>
      </c>
      <c r="U183" s="6">
        <v>21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724.89</v>
      </c>
      <c r="X183" s="6">
        <f>IF(ISERROR(VLOOKUP($U$183,'TAR FIN'!$A$1:$O$85,15,0)),0,VLOOKUP($U$183,'TAR FIN'!$A$1:$O$85,15,0))</f>
        <v>177.53</v>
      </c>
      <c r="Y183" s="6"/>
      <c r="Z183" s="6">
        <f ca="1">('TUSD BE'!$AM$33+'TUSD BF'!$AM$33+'TUSD CVA'!$AM$33)*(1-CUSTOS!$M$38)</f>
        <v>983.68270772870949</v>
      </c>
      <c r="AA183" s="6">
        <f>('TE BE'!$AA$23+'TE BF'!$AA$23+'TE CVA'!$AA$23)*(1-CUSTOS!$M$38)</f>
        <v>212.24710244942861</v>
      </c>
      <c r="AB183" s="6">
        <f>$K$183*$V$183</f>
        <v>0</v>
      </c>
      <c r="AC183" s="6">
        <f>$M$183*$W$183</f>
        <v>88591.706460000001</v>
      </c>
      <c r="AD183" s="6">
        <f>$O$183*$X$183</f>
        <v>21696.651419999998</v>
      </c>
      <c r="AE183" s="6">
        <f>$K$183*$Y$183</f>
        <v>0</v>
      </c>
      <c r="AF183" s="6">
        <f ca="1">$M$183*$Z$183</f>
        <v>120219.79844235651</v>
      </c>
      <c r="AG183" s="6">
        <f>$O$183*$AA$183</f>
        <v>25939.567378754469</v>
      </c>
    </row>
    <row r="184" spans="1:33" ht="11.25" customHeight="1" x14ac:dyDescent="0.3">
      <c r="A184" s="4" t="s">
        <v>21</v>
      </c>
      <c r="B184" s="4" t="s">
        <v>40</v>
      </c>
      <c r="C184" s="4" t="s">
        <v>23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44440</v>
      </c>
      <c r="J184" s="6">
        <v>0</v>
      </c>
      <c r="K184" s="6">
        <v>0</v>
      </c>
      <c r="L184" s="6">
        <v>131.24199999999999</v>
      </c>
      <c r="M184" s="6">
        <v>131.24199999999999</v>
      </c>
      <c r="N184" s="6">
        <v>131.24199999999999</v>
      </c>
      <c r="O184" s="6">
        <v>131.24199999999999</v>
      </c>
      <c r="P184" s="6">
        <v>261</v>
      </c>
      <c r="Q184" s="4" t="s">
        <v>26</v>
      </c>
      <c r="R184" s="4">
        <v>0</v>
      </c>
      <c r="S184" s="6">
        <v>0</v>
      </c>
      <c r="T184" s="6">
        <v>74</v>
      </c>
      <c r="U184" s="6">
        <v>21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724.89</v>
      </c>
      <c r="X184" s="6">
        <f>IF(ISERROR(VLOOKUP($U$184,'TAR FIN'!$A$1:$O$85,15,0)),0,VLOOKUP($U$184,'TAR FIN'!$A$1:$O$85,15,0))</f>
        <v>177.53</v>
      </c>
      <c r="Y184" s="6"/>
      <c r="Z184" s="6">
        <f ca="1">('TUSD BE'!$AM$33+'TUSD BF'!$AM$33+'TUSD CVA'!$AM$33)*(1-CUSTOS!$M$38)</f>
        <v>983.68270772870949</v>
      </c>
      <c r="AA184" s="6">
        <f>('TE BE'!$AA$23+'TE BF'!$AA$23+'TE CVA'!$AA$23)*(1-CUSTOS!$M$38)</f>
        <v>212.24710244942861</v>
      </c>
      <c r="AB184" s="6">
        <f>$K$184*$V$184</f>
        <v>0</v>
      </c>
      <c r="AC184" s="6">
        <f>$M$184*$W$184</f>
        <v>95136.013379999989</v>
      </c>
      <c r="AD184" s="6">
        <f>$O$184*$X$184</f>
        <v>23299.392259999997</v>
      </c>
      <c r="AE184" s="6">
        <f>$K$184*$Y$184</f>
        <v>0</v>
      </c>
      <c r="AF184" s="6">
        <f ca="1">$M$184*$Z$184</f>
        <v>129100.48592773128</v>
      </c>
      <c r="AG184" s="6">
        <f>$O$184*$AA$184</f>
        <v>27855.734219667909</v>
      </c>
    </row>
    <row r="185" spans="1:33" ht="11.25" customHeight="1" x14ac:dyDescent="0.3">
      <c r="A185" s="4" t="s">
        <v>21</v>
      </c>
      <c r="B185" s="4" t="s">
        <v>40</v>
      </c>
      <c r="C185" s="4" t="s">
        <v>23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44470</v>
      </c>
      <c r="J185" s="6">
        <v>0</v>
      </c>
      <c r="K185" s="6">
        <v>0</v>
      </c>
      <c r="L185" s="6">
        <v>116.65600000000001</v>
      </c>
      <c r="M185" s="6">
        <v>116.65600000000001</v>
      </c>
      <c r="N185" s="6">
        <v>116.65600000000001</v>
      </c>
      <c r="O185" s="6">
        <v>116.65600000000001</v>
      </c>
      <c r="P185" s="6">
        <v>256</v>
      </c>
      <c r="Q185" s="4" t="s">
        <v>26</v>
      </c>
      <c r="R185" s="4">
        <v>0</v>
      </c>
      <c r="S185" s="6">
        <v>0</v>
      </c>
      <c r="T185" s="6">
        <v>74</v>
      </c>
      <c r="U185" s="6">
        <v>21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724.89</v>
      </c>
      <c r="X185" s="6">
        <f>IF(ISERROR(VLOOKUP($U$185,'TAR FIN'!$A$1:$O$85,15,0)),0,VLOOKUP($U$185,'TAR FIN'!$A$1:$O$85,15,0))</f>
        <v>177.53</v>
      </c>
      <c r="Y185" s="6"/>
      <c r="Z185" s="6">
        <f ca="1">('TUSD BE'!$AM$33+'TUSD BF'!$AM$33+'TUSD CVA'!$AM$33)*(1-CUSTOS!$M$38)</f>
        <v>983.68270772870949</v>
      </c>
      <c r="AA185" s="6">
        <f>('TE BE'!$AA$23+'TE BF'!$AA$23+'TE CVA'!$AA$23)*(1-CUSTOS!$M$38)</f>
        <v>212.24710244942861</v>
      </c>
      <c r="AB185" s="6">
        <f>$K$185*$V$185</f>
        <v>0</v>
      </c>
      <c r="AC185" s="6">
        <f>$M$185*$W$185</f>
        <v>84562.76784</v>
      </c>
      <c r="AD185" s="6">
        <f>$O$185*$X$185</f>
        <v>20709.939679999999</v>
      </c>
      <c r="AE185" s="6">
        <f>$K$185*$Y$185</f>
        <v>0</v>
      </c>
      <c r="AF185" s="6">
        <f ca="1">$M$185*$Z$185</f>
        <v>114752.48995280034</v>
      </c>
      <c r="AG185" s="6">
        <f>$O$185*$AA$185</f>
        <v>24759.897983340546</v>
      </c>
    </row>
    <row r="186" spans="1:33" ht="11.25" customHeight="1" x14ac:dyDescent="0.3">
      <c r="A186" s="4" t="s">
        <v>28</v>
      </c>
      <c r="B186" s="4" t="s">
        <v>40</v>
      </c>
      <c r="C186" s="4" t="s">
        <v>23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44470</v>
      </c>
      <c r="J186" s="6">
        <v>0</v>
      </c>
      <c r="K186" s="6">
        <v>0</v>
      </c>
      <c r="L186" s="6">
        <v>1.3080000000000001</v>
      </c>
      <c r="M186" s="6">
        <v>1.3080000000000001</v>
      </c>
      <c r="N186" s="6">
        <v>1.3080000000000001</v>
      </c>
      <c r="O186" s="6">
        <v>1.3080000000000001</v>
      </c>
      <c r="P186" s="6">
        <v>1</v>
      </c>
      <c r="Q186" s="4" t="s">
        <v>26</v>
      </c>
      <c r="R186" s="4">
        <v>0</v>
      </c>
      <c r="S186" s="6">
        <v>0</v>
      </c>
      <c r="T186" s="6">
        <v>74</v>
      </c>
      <c r="U186" s="6">
        <v>21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724.89</v>
      </c>
      <c r="X186" s="6">
        <f>IF(ISERROR(VLOOKUP($U$186,'TAR FIN'!$A$1:$O$85,15,0)),0,VLOOKUP($U$186,'TAR FIN'!$A$1:$O$85,15,0))</f>
        <v>177.53</v>
      </c>
      <c r="Y186" s="6"/>
      <c r="Z186" s="6">
        <f ca="1">('TUSD BE'!$AM$33+'TUSD BF'!$AM$33+'TUSD CVA'!$AM$33)*(1-CUSTOS!$M$38)</f>
        <v>983.68270772870949</v>
      </c>
      <c r="AA186" s="6">
        <f>('TE BE'!$AA$23+'TE BF'!$AA$23+'TE CVA'!$AA$23)*(1-CUSTOS!$M$38)</f>
        <v>212.24710244942861</v>
      </c>
      <c r="AB186" s="6">
        <f>$K$186*$V$186</f>
        <v>0</v>
      </c>
      <c r="AC186" s="6">
        <f>$M$186*$W$186</f>
        <v>948.15611999999999</v>
      </c>
      <c r="AD186" s="6">
        <f>$O$186*$X$186</f>
        <v>232.20924000000002</v>
      </c>
      <c r="AE186" s="6">
        <f>$K$186*$Y$186</f>
        <v>0</v>
      </c>
      <c r="AF186" s="6">
        <f ca="1">$M$186*$Z$186</f>
        <v>1286.656981709152</v>
      </c>
      <c r="AG186" s="6">
        <f>$O$186*$AA$186</f>
        <v>277.61921000385263</v>
      </c>
    </row>
    <row r="187" spans="1:33" ht="11.25" customHeight="1" x14ac:dyDescent="0.3">
      <c r="A187" s="4" t="s">
        <v>21</v>
      </c>
      <c r="B187" s="4" t="s">
        <v>40</v>
      </c>
      <c r="C187" s="4" t="s">
        <v>23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44501</v>
      </c>
      <c r="J187" s="6">
        <v>0</v>
      </c>
      <c r="K187" s="6">
        <v>0</v>
      </c>
      <c r="L187" s="6">
        <v>125.11799999999999</v>
      </c>
      <c r="M187" s="6">
        <v>125.11799999999999</v>
      </c>
      <c r="N187" s="6">
        <v>125.11799999999999</v>
      </c>
      <c r="O187" s="6">
        <v>125.11799999999999</v>
      </c>
      <c r="P187" s="6">
        <v>256</v>
      </c>
      <c r="Q187" s="4" t="s">
        <v>26</v>
      </c>
      <c r="R187" s="4">
        <v>0</v>
      </c>
      <c r="S187" s="6">
        <v>0</v>
      </c>
      <c r="T187" s="6">
        <v>74</v>
      </c>
      <c r="U187" s="6">
        <v>21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724.89</v>
      </c>
      <c r="X187" s="6">
        <f>IF(ISERROR(VLOOKUP($U$187,'TAR FIN'!$A$1:$O$85,15,0)),0,VLOOKUP($U$187,'TAR FIN'!$A$1:$O$85,15,0))</f>
        <v>177.53</v>
      </c>
      <c r="Y187" s="6"/>
      <c r="Z187" s="6">
        <f ca="1">('TUSD BE'!$AM$33+'TUSD BF'!$AM$33+'TUSD CVA'!$AM$33)*(1-CUSTOS!$M$38)</f>
        <v>983.68270772870949</v>
      </c>
      <c r="AA187" s="6">
        <f>('TE BE'!$AA$23+'TE BF'!$AA$23+'TE CVA'!$AA$23)*(1-CUSTOS!$M$38)</f>
        <v>212.24710244942861</v>
      </c>
      <c r="AB187" s="6">
        <f>$K$187*$V$187</f>
        <v>0</v>
      </c>
      <c r="AC187" s="6">
        <f>$M$187*$W$187</f>
        <v>90696.787019999989</v>
      </c>
      <c r="AD187" s="6">
        <f>$O$187*$X$187</f>
        <v>22212.198539999998</v>
      </c>
      <c r="AE187" s="6">
        <f>$K$187*$Y$187</f>
        <v>0</v>
      </c>
      <c r="AF187" s="6">
        <f ca="1">$M$187*$Z$187</f>
        <v>123076.41302560068</v>
      </c>
      <c r="AG187" s="6">
        <f>$O$187*$AA$187</f>
        <v>26555.932964267609</v>
      </c>
    </row>
    <row r="188" spans="1:33" ht="11.25" customHeight="1" x14ac:dyDescent="0.3">
      <c r="A188" s="4" t="s">
        <v>27</v>
      </c>
      <c r="B188" s="4" t="s">
        <v>40</v>
      </c>
      <c r="C188" s="4" t="s">
        <v>23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44501</v>
      </c>
      <c r="J188" s="6">
        <v>0</v>
      </c>
      <c r="K188" s="6">
        <v>0</v>
      </c>
      <c r="L188" s="6">
        <v>-0.80100000000000005</v>
      </c>
      <c r="M188" s="6">
        <v>-0.80100000000000005</v>
      </c>
      <c r="N188" s="6">
        <v>-0.80100000000000005</v>
      </c>
      <c r="O188" s="6">
        <v>-0.80100000000000005</v>
      </c>
      <c r="P188" s="6">
        <v>0</v>
      </c>
      <c r="Q188" s="4" t="s">
        <v>26</v>
      </c>
      <c r="R188" s="4">
        <v>0</v>
      </c>
      <c r="S188" s="6">
        <v>0</v>
      </c>
      <c r="T188" s="6">
        <v>74</v>
      </c>
      <c r="U188" s="6">
        <v>21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724.89</v>
      </c>
      <c r="X188" s="6">
        <f>IF(ISERROR(VLOOKUP($U$188,'TAR FIN'!$A$1:$O$85,15,0)),0,VLOOKUP($U$188,'TAR FIN'!$A$1:$O$85,15,0))</f>
        <v>177.53</v>
      </c>
      <c r="Y188" s="6"/>
      <c r="Z188" s="6">
        <f ca="1">('TUSD BE'!$AM$33+'TUSD BF'!$AM$33+'TUSD CVA'!$AM$33)*(1-CUSTOS!$M$38)</f>
        <v>983.68270772870949</v>
      </c>
      <c r="AA188" s="6">
        <f>('TE BE'!$AA$23+'TE BF'!$AA$23+'TE CVA'!$AA$23)*(1-CUSTOS!$M$38)</f>
        <v>212.24710244942861</v>
      </c>
      <c r="AB188" s="6">
        <f>$K$188*$V$188</f>
        <v>0</v>
      </c>
      <c r="AC188" s="6">
        <f>$M$188*$W$188</f>
        <v>-580.63688999999999</v>
      </c>
      <c r="AD188" s="6">
        <f>$O$188*$X$188</f>
        <v>-142.20153000000002</v>
      </c>
      <c r="AE188" s="6">
        <f>$K$188*$Y$188</f>
        <v>0</v>
      </c>
      <c r="AF188" s="6">
        <f ca="1">$M$188*$Z$188</f>
        <v>-787.92984889069635</v>
      </c>
      <c r="AG188" s="6">
        <f>$O$188*$AA$188</f>
        <v>-170.00992906199232</v>
      </c>
    </row>
    <row r="189" spans="1:33" ht="11.25" customHeight="1" x14ac:dyDescent="0.3">
      <c r="A189" s="4" t="s">
        <v>28</v>
      </c>
      <c r="B189" s="4" t="s">
        <v>40</v>
      </c>
      <c r="C189" s="4" t="s">
        <v>23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44501</v>
      </c>
      <c r="J189" s="6">
        <v>0</v>
      </c>
      <c r="K189" s="6">
        <v>0</v>
      </c>
      <c r="L189" s="6">
        <v>0.88</v>
      </c>
      <c r="M189" s="6">
        <v>0.88</v>
      </c>
      <c r="N189" s="6">
        <v>0.88</v>
      </c>
      <c r="O189" s="6">
        <v>0.88</v>
      </c>
      <c r="P189" s="6">
        <v>1</v>
      </c>
      <c r="Q189" s="4" t="s">
        <v>26</v>
      </c>
      <c r="R189" s="4">
        <v>0</v>
      </c>
      <c r="S189" s="6">
        <v>0</v>
      </c>
      <c r="T189" s="6">
        <v>74</v>
      </c>
      <c r="U189" s="6">
        <v>21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724.89</v>
      </c>
      <c r="X189" s="6">
        <f>IF(ISERROR(VLOOKUP($U$189,'TAR FIN'!$A$1:$O$85,15,0)),0,VLOOKUP($U$189,'TAR FIN'!$A$1:$O$85,15,0))</f>
        <v>177.53</v>
      </c>
      <c r="Y189" s="6"/>
      <c r="Z189" s="6">
        <f ca="1">('TUSD BE'!$AM$33+'TUSD BF'!$AM$33+'TUSD CVA'!$AM$33)*(1-CUSTOS!$M$38)</f>
        <v>983.68270772870949</v>
      </c>
      <c r="AA189" s="6">
        <f>('TE BE'!$AA$23+'TE BF'!$AA$23+'TE CVA'!$AA$23)*(1-CUSTOS!$M$38)</f>
        <v>212.24710244942861</v>
      </c>
      <c r="AB189" s="6">
        <f>$K$189*$V$189</f>
        <v>0</v>
      </c>
      <c r="AC189" s="6">
        <f>$M$189*$W$189</f>
        <v>637.90319999999997</v>
      </c>
      <c r="AD189" s="6">
        <f>$O$189*$X$189</f>
        <v>156.22640000000001</v>
      </c>
      <c r="AE189" s="6">
        <f>$K$189*$Y$189</f>
        <v>0</v>
      </c>
      <c r="AF189" s="6">
        <f ca="1">$M$189*$Z$189</f>
        <v>865.64078280126432</v>
      </c>
      <c r="AG189" s="6">
        <f>$O$189*$AA$189</f>
        <v>186.77745015549718</v>
      </c>
    </row>
    <row r="190" spans="1:33" ht="11.25" customHeight="1" x14ac:dyDescent="0.3">
      <c r="A190" s="4" t="s">
        <v>21</v>
      </c>
      <c r="B190" s="4" t="s">
        <v>40</v>
      </c>
      <c r="C190" s="4" t="s">
        <v>23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129.33799999999999</v>
      </c>
      <c r="M190" s="6">
        <v>129.33799999999999</v>
      </c>
      <c r="N190" s="6">
        <v>129.33799999999999</v>
      </c>
      <c r="O190" s="6">
        <v>129.33799999999999</v>
      </c>
      <c r="P190" s="6">
        <v>253</v>
      </c>
      <c r="Q190" s="4" t="s">
        <v>26</v>
      </c>
      <c r="R190" s="4">
        <v>0</v>
      </c>
      <c r="S190" s="6">
        <v>0</v>
      </c>
      <c r="T190" s="6">
        <v>74</v>
      </c>
      <c r="U190" s="6">
        <v>21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724.89</v>
      </c>
      <c r="X190" s="6">
        <f>IF(ISERROR(VLOOKUP($U$190,'TAR FIN'!$A$1:$O$85,15,0)),0,VLOOKUP($U$190,'TAR FIN'!$A$1:$O$85,15,0))</f>
        <v>177.53</v>
      </c>
      <c r="Y190" s="6"/>
      <c r="Z190" s="6">
        <f ca="1">('TUSD BE'!$AM$33+'TUSD BF'!$AM$33+'TUSD CVA'!$AM$33)*(1-CUSTOS!$M$38)</f>
        <v>983.68270772870949</v>
      </c>
      <c r="AA190" s="6">
        <f>('TE BE'!$AA$23+'TE BF'!$AA$23+'TE CVA'!$AA$23)*(1-CUSTOS!$M$38)</f>
        <v>212.24710244942861</v>
      </c>
      <c r="AB190" s="6">
        <f>$K$190*$V$190</f>
        <v>0</v>
      </c>
      <c r="AC190" s="6">
        <f>$M$190*$W$190</f>
        <v>93755.822819999987</v>
      </c>
      <c r="AD190" s="6">
        <f>$O$190*$X$190</f>
        <v>22961.37514</v>
      </c>
      <c r="AE190" s="6">
        <f>$K$190*$Y$190</f>
        <v>0</v>
      </c>
      <c r="AF190" s="6">
        <f ca="1">$M$190*$Z$190</f>
        <v>127227.55405221583</v>
      </c>
      <c r="AG190" s="6">
        <f>$O$190*$AA$190</f>
        <v>27451.615736604195</v>
      </c>
    </row>
    <row r="191" spans="1:33" ht="11.25" customHeight="1" x14ac:dyDescent="0.3">
      <c r="A191" s="4" t="s">
        <v>28</v>
      </c>
      <c r="B191" s="4" t="s">
        <v>40</v>
      </c>
      <c r="C191" s="4" t="s">
        <v>23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44531</v>
      </c>
      <c r="J191" s="6">
        <v>0</v>
      </c>
      <c r="K191" s="6">
        <v>0</v>
      </c>
      <c r="L191" s="6">
        <v>0.79500000000000004</v>
      </c>
      <c r="M191" s="6">
        <v>0.79500000000000004</v>
      </c>
      <c r="N191" s="6">
        <v>0.79500000000000004</v>
      </c>
      <c r="O191" s="6">
        <v>0.79500000000000004</v>
      </c>
      <c r="P191" s="6">
        <v>1</v>
      </c>
      <c r="Q191" s="4" t="s">
        <v>26</v>
      </c>
      <c r="R191" s="4">
        <v>0</v>
      </c>
      <c r="S191" s="6">
        <v>0</v>
      </c>
      <c r="T191" s="6">
        <v>74</v>
      </c>
      <c r="U191" s="6">
        <v>21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724.89</v>
      </c>
      <c r="X191" s="6">
        <f>IF(ISERROR(VLOOKUP($U$191,'TAR FIN'!$A$1:$O$85,15,0)),0,VLOOKUP($U$191,'TAR FIN'!$A$1:$O$85,15,0))</f>
        <v>177.53</v>
      </c>
      <c r="Y191" s="6"/>
      <c r="Z191" s="6">
        <f ca="1">('TUSD BE'!$AM$33+'TUSD BF'!$AM$33+'TUSD CVA'!$AM$33)*(1-CUSTOS!$M$38)</f>
        <v>983.68270772870949</v>
      </c>
      <c r="AA191" s="6">
        <f>('TE BE'!$AA$23+'TE BF'!$AA$23+'TE CVA'!$AA$23)*(1-CUSTOS!$M$38)</f>
        <v>212.24710244942861</v>
      </c>
      <c r="AB191" s="6">
        <f>$K$191*$V$191</f>
        <v>0</v>
      </c>
      <c r="AC191" s="6">
        <f>$M$191*$W$191</f>
        <v>576.28755000000001</v>
      </c>
      <c r="AD191" s="6">
        <f>$O$191*$X$191</f>
        <v>141.13635000000002</v>
      </c>
      <c r="AE191" s="6">
        <f>$K$191*$Y$191</f>
        <v>0</v>
      </c>
      <c r="AF191" s="6">
        <f ca="1">$M$191*$Z$191</f>
        <v>782.0277526443241</v>
      </c>
      <c r="AG191" s="6">
        <f>$O$191*$AA$191</f>
        <v>168.73644644729575</v>
      </c>
    </row>
    <row r="192" spans="1:33" ht="11.25" customHeight="1" x14ac:dyDescent="0.3">
      <c r="A192" s="4" t="s">
        <v>21</v>
      </c>
      <c r="B192" s="4" t="s">
        <v>40</v>
      </c>
      <c r="C192" s="4" t="s">
        <v>23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44562</v>
      </c>
      <c r="J192" s="6">
        <v>0</v>
      </c>
      <c r="K192" s="6">
        <v>0</v>
      </c>
      <c r="L192" s="6">
        <v>132.16300000000001</v>
      </c>
      <c r="M192" s="6">
        <v>132.16300000000001</v>
      </c>
      <c r="N192" s="6">
        <v>132.16300000000001</v>
      </c>
      <c r="O192" s="6">
        <v>132.16300000000001</v>
      </c>
      <c r="P192" s="6">
        <v>248</v>
      </c>
      <c r="Q192" s="4" t="s">
        <v>26</v>
      </c>
      <c r="R192" s="4">
        <v>0</v>
      </c>
      <c r="S192" s="6">
        <v>0</v>
      </c>
      <c r="T192" s="6">
        <v>74</v>
      </c>
      <c r="U192" s="6">
        <v>21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724.89</v>
      </c>
      <c r="X192" s="6">
        <f>IF(ISERROR(VLOOKUP($U$192,'TAR FIN'!$A$1:$O$85,15,0)),0,VLOOKUP($U$192,'TAR FIN'!$A$1:$O$85,15,0))</f>
        <v>177.53</v>
      </c>
      <c r="Y192" s="6"/>
      <c r="Z192" s="6">
        <f ca="1">('TUSD BE'!$AM$33+'TUSD BF'!$AM$33+'TUSD CVA'!$AM$33)*(1-CUSTOS!$M$38)</f>
        <v>983.68270772870949</v>
      </c>
      <c r="AA192" s="6">
        <f>('TE BE'!$AA$23+'TE BF'!$AA$23+'TE CVA'!$AA$23)*(1-CUSTOS!$M$38)</f>
        <v>212.24710244942861</v>
      </c>
      <c r="AB192" s="6">
        <f>$K$192*$V$192</f>
        <v>0</v>
      </c>
      <c r="AC192" s="6">
        <f>$M$192*$W$192</f>
        <v>95803.637070000012</v>
      </c>
      <c r="AD192" s="6">
        <f>$O$192*$X$192</f>
        <v>23462.897390000002</v>
      </c>
      <c r="AE192" s="6">
        <f>$K$192*$Y$192</f>
        <v>0</v>
      </c>
      <c r="AF192" s="6">
        <f ca="1">$M$192*$Z$192</f>
        <v>130006.45770154944</v>
      </c>
      <c r="AG192" s="6">
        <f>$O$192*$AA$192</f>
        <v>28051.213801023834</v>
      </c>
    </row>
    <row r="193" spans="1:33" ht="11.25" customHeight="1" x14ac:dyDescent="0.3">
      <c r="A193" s="4" t="s">
        <v>28</v>
      </c>
      <c r="B193" s="4" t="s">
        <v>40</v>
      </c>
      <c r="C193" s="4" t="s">
        <v>23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0</v>
      </c>
      <c r="K193" s="6">
        <v>0</v>
      </c>
      <c r="L193" s="6">
        <v>1.927</v>
      </c>
      <c r="M193" s="6">
        <v>1.927</v>
      </c>
      <c r="N193" s="6">
        <v>1.927</v>
      </c>
      <c r="O193" s="6">
        <v>1.927</v>
      </c>
      <c r="P193" s="6">
        <v>2</v>
      </c>
      <c r="Q193" s="4" t="s">
        <v>26</v>
      </c>
      <c r="R193" s="4">
        <v>0</v>
      </c>
      <c r="S193" s="6">
        <v>0</v>
      </c>
      <c r="T193" s="6">
        <v>74</v>
      </c>
      <c r="U193" s="6">
        <v>21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724.89</v>
      </c>
      <c r="X193" s="6">
        <f>IF(ISERROR(VLOOKUP($U$193,'TAR FIN'!$A$1:$O$85,15,0)),0,VLOOKUP($U$193,'TAR FIN'!$A$1:$O$85,15,0))</f>
        <v>177.53</v>
      </c>
      <c r="Y193" s="6"/>
      <c r="Z193" s="6">
        <f ca="1">('TUSD BE'!$AM$33+'TUSD BF'!$AM$33+'TUSD CVA'!$AM$33)*(1-CUSTOS!$M$38)</f>
        <v>983.68270772870949</v>
      </c>
      <c r="AA193" s="6">
        <f>('TE BE'!$AA$23+'TE BF'!$AA$23+'TE CVA'!$AA$23)*(1-CUSTOS!$M$38)</f>
        <v>212.24710244942861</v>
      </c>
      <c r="AB193" s="6">
        <f>$K$193*$V$193</f>
        <v>0</v>
      </c>
      <c r="AC193" s="6">
        <f>$M$193*$W$193</f>
        <v>1396.86303</v>
      </c>
      <c r="AD193" s="6">
        <f>$O$193*$X$193</f>
        <v>342.10031000000004</v>
      </c>
      <c r="AE193" s="6">
        <f>$K$193*$Y$193</f>
        <v>0</v>
      </c>
      <c r="AF193" s="6">
        <f ca="1">$M$193*$Z$193</f>
        <v>1895.5565777932231</v>
      </c>
      <c r="AG193" s="6">
        <f>$O$193*$AA$193</f>
        <v>409.00016642004891</v>
      </c>
    </row>
    <row r="194" spans="1:33" ht="11.25" customHeight="1" x14ac:dyDescent="0.3">
      <c r="A194" s="4" t="s">
        <v>21</v>
      </c>
      <c r="B194" s="4" t="s">
        <v>40</v>
      </c>
      <c r="C194" s="4" t="s">
        <v>23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131.50399999999999</v>
      </c>
      <c r="M194" s="6">
        <v>131.50399999999999</v>
      </c>
      <c r="N194" s="6">
        <v>131.50399999999999</v>
      </c>
      <c r="O194" s="6">
        <v>131.50399999999999</v>
      </c>
      <c r="P194" s="6">
        <v>247</v>
      </c>
      <c r="Q194" s="4" t="s">
        <v>26</v>
      </c>
      <c r="R194" s="4">
        <v>0</v>
      </c>
      <c r="S194" s="6">
        <v>0</v>
      </c>
      <c r="T194" s="6">
        <v>74</v>
      </c>
      <c r="U194" s="6">
        <v>21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724.89</v>
      </c>
      <c r="X194" s="6">
        <f>IF(ISERROR(VLOOKUP($U$194,'TAR FIN'!$A$1:$O$85,15,0)),0,VLOOKUP($U$194,'TAR FIN'!$A$1:$O$85,15,0))</f>
        <v>177.53</v>
      </c>
      <c r="Y194" s="6"/>
      <c r="Z194" s="6">
        <f ca="1">('TUSD BE'!$AM$33+'TUSD BF'!$AM$33+'TUSD CVA'!$AM$33)*(1-CUSTOS!$M$38)</f>
        <v>983.68270772870949</v>
      </c>
      <c r="AA194" s="6">
        <f>('TE BE'!$AA$23+'TE BF'!$AA$23+'TE CVA'!$AA$23)*(1-CUSTOS!$M$38)</f>
        <v>212.24710244942861</v>
      </c>
      <c r="AB194" s="6">
        <f>$K$194*$V$194</f>
        <v>0</v>
      </c>
      <c r="AC194" s="6">
        <f>$M$194*$W$194</f>
        <v>95325.934559999994</v>
      </c>
      <c r="AD194" s="6">
        <f>$O$194*$X$194</f>
        <v>23345.905119999999</v>
      </c>
      <c r="AE194" s="6">
        <f>$K$194*$Y$194</f>
        <v>0</v>
      </c>
      <c r="AF194" s="6">
        <f ca="1">$M$194*$Z$194</f>
        <v>129358.21079715621</v>
      </c>
      <c r="AG194" s="6">
        <f>$O$194*$AA$194</f>
        <v>27911.342960509657</v>
      </c>
    </row>
    <row r="195" spans="1:33" ht="11.25" customHeight="1" x14ac:dyDescent="0.3">
      <c r="A195" s="4" t="s">
        <v>28</v>
      </c>
      <c r="B195" s="4" t="s">
        <v>40</v>
      </c>
      <c r="C195" s="4" t="s">
        <v>23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44593</v>
      </c>
      <c r="J195" s="6">
        <v>0</v>
      </c>
      <c r="K195" s="6">
        <v>0</v>
      </c>
      <c r="L195" s="6">
        <v>0.316</v>
      </c>
      <c r="M195" s="6">
        <v>0.316</v>
      </c>
      <c r="N195" s="6">
        <v>0.316</v>
      </c>
      <c r="O195" s="6">
        <v>0.316</v>
      </c>
      <c r="P195" s="6">
        <v>2</v>
      </c>
      <c r="Q195" s="4" t="s">
        <v>26</v>
      </c>
      <c r="R195" s="4">
        <v>0</v>
      </c>
      <c r="S195" s="6">
        <v>0</v>
      </c>
      <c r="T195" s="6">
        <v>74</v>
      </c>
      <c r="U195" s="6">
        <v>21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724.89</v>
      </c>
      <c r="X195" s="6">
        <f>IF(ISERROR(VLOOKUP($U$195,'TAR FIN'!$A$1:$O$85,15,0)),0,VLOOKUP($U$195,'TAR FIN'!$A$1:$O$85,15,0))</f>
        <v>177.53</v>
      </c>
      <c r="Y195" s="6"/>
      <c r="Z195" s="6">
        <f ca="1">('TUSD BE'!$AM$33+'TUSD BF'!$AM$33+'TUSD CVA'!$AM$33)*(1-CUSTOS!$M$38)</f>
        <v>983.68270772870949</v>
      </c>
      <c r="AA195" s="6">
        <f>('TE BE'!$AA$23+'TE BF'!$AA$23+'TE CVA'!$AA$23)*(1-CUSTOS!$M$38)</f>
        <v>212.24710244942861</v>
      </c>
      <c r="AB195" s="6">
        <f>$K$195*$V$195</f>
        <v>0</v>
      </c>
      <c r="AC195" s="6">
        <f>$M$195*$W$195</f>
        <v>229.06523999999999</v>
      </c>
      <c r="AD195" s="6">
        <f>$O$195*$X$195</f>
        <v>56.09948</v>
      </c>
      <c r="AE195" s="6">
        <f>$K$195*$Y$195</f>
        <v>0</v>
      </c>
      <c r="AF195" s="6">
        <f ca="1">$M$195*$Z$195</f>
        <v>310.84373564227218</v>
      </c>
      <c r="AG195" s="6">
        <f>$O$195*$AA$195</f>
        <v>67.070084374019444</v>
      </c>
    </row>
    <row r="196" spans="1:33" ht="11.25" customHeight="1" x14ac:dyDescent="0.3">
      <c r="A196" s="4" t="s">
        <v>21</v>
      </c>
      <c r="B196" s="4" t="s">
        <v>40</v>
      </c>
      <c r="C196" s="4" t="s">
        <v>23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44621</v>
      </c>
      <c r="J196" s="6">
        <v>0</v>
      </c>
      <c r="K196" s="6">
        <v>0</v>
      </c>
      <c r="L196" s="6">
        <v>122.595</v>
      </c>
      <c r="M196" s="6">
        <v>122.595</v>
      </c>
      <c r="N196" s="6">
        <v>122.595</v>
      </c>
      <c r="O196" s="6">
        <v>122.595</v>
      </c>
      <c r="P196" s="6">
        <v>246</v>
      </c>
      <c r="Q196" s="4" t="s">
        <v>26</v>
      </c>
      <c r="R196" s="4">
        <v>0</v>
      </c>
      <c r="S196" s="6">
        <v>0</v>
      </c>
      <c r="T196" s="6">
        <v>74</v>
      </c>
      <c r="U196" s="6">
        <v>21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724.89</v>
      </c>
      <c r="X196" s="6">
        <f>IF(ISERROR(VLOOKUP($U$196,'TAR FIN'!$A$1:$O$85,15,0)),0,VLOOKUP($U$196,'TAR FIN'!$A$1:$O$85,15,0))</f>
        <v>177.53</v>
      </c>
      <c r="Y196" s="6"/>
      <c r="Z196" s="6">
        <f ca="1">('TUSD BE'!$AM$33+'TUSD BF'!$AM$33+'TUSD CVA'!$AM$33)*(1-CUSTOS!$M$38)</f>
        <v>983.68270772870949</v>
      </c>
      <c r="AA196" s="6">
        <f>('TE BE'!$AA$23+'TE BF'!$AA$23+'TE CVA'!$AA$23)*(1-CUSTOS!$M$38)</f>
        <v>212.24710244942861</v>
      </c>
      <c r="AB196" s="6">
        <f>$K$196*$V$196</f>
        <v>0</v>
      </c>
      <c r="AC196" s="6">
        <f>$M$196*$W$196</f>
        <v>88867.889549999993</v>
      </c>
      <c r="AD196" s="6">
        <f>$O$196*$X$196</f>
        <v>21764.290349999999</v>
      </c>
      <c r="AE196" s="6">
        <f>$K$196*$Y$196</f>
        <v>0</v>
      </c>
      <c r="AF196" s="6">
        <f ca="1">$M$196*$Z$196</f>
        <v>120594.58155400114</v>
      </c>
      <c r="AG196" s="6">
        <f>$O$196*$AA$196</f>
        <v>26020.433524787699</v>
      </c>
    </row>
    <row r="197" spans="1:33" ht="11.25" customHeight="1" x14ac:dyDescent="0.3">
      <c r="A197" s="4" t="s">
        <v>28</v>
      </c>
      <c r="B197" s="4" t="s">
        <v>40</v>
      </c>
      <c r="C197" s="4" t="s">
        <v>23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0</v>
      </c>
      <c r="K197" s="6">
        <v>0</v>
      </c>
      <c r="L197" s="6">
        <v>1.458</v>
      </c>
      <c r="M197" s="6">
        <v>1.458</v>
      </c>
      <c r="N197" s="6">
        <v>1.458</v>
      </c>
      <c r="O197" s="6">
        <v>1.458</v>
      </c>
      <c r="P197" s="6">
        <v>3</v>
      </c>
      <c r="Q197" s="4" t="s">
        <v>26</v>
      </c>
      <c r="R197" s="4">
        <v>0</v>
      </c>
      <c r="S197" s="6">
        <v>0</v>
      </c>
      <c r="T197" s="6">
        <v>74</v>
      </c>
      <c r="U197" s="6">
        <v>21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724.89</v>
      </c>
      <c r="X197" s="6">
        <f>IF(ISERROR(VLOOKUP($U$197,'TAR FIN'!$A$1:$O$85,15,0)),0,VLOOKUP($U$197,'TAR FIN'!$A$1:$O$85,15,0))</f>
        <v>177.53</v>
      </c>
      <c r="Y197" s="6"/>
      <c r="Z197" s="6">
        <f ca="1">('TUSD BE'!$AM$33+'TUSD BF'!$AM$33+'TUSD CVA'!$AM$33)*(1-CUSTOS!$M$38)</f>
        <v>983.68270772870949</v>
      </c>
      <c r="AA197" s="6">
        <f>('TE BE'!$AA$23+'TE BF'!$AA$23+'TE CVA'!$AA$23)*(1-CUSTOS!$M$38)</f>
        <v>212.24710244942861</v>
      </c>
      <c r="AB197" s="6">
        <f>$K$197*$V$197</f>
        <v>0</v>
      </c>
      <c r="AC197" s="6">
        <f>$M$197*$W$197</f>
        <v>1056.8896199999999</v>
      </c>
      <c r="AD197" s="6">
        <f>$O$197*$X$197</f>
        <v>258.83873999999997</v>
      </c>
      <c r="AE197" s="6">
        <f>$K$197*$Y$197</f>
        <v>0</v>
      </c>
      <c r="AF197" s="6">
        <f ca="1">$M$197*$Z$197</f>
        <v>1434.2093878684584</v>
      </c>
      <c r="AG197" s="6">
        <f>$O$197*$AA$197</f>
        <v>309.45627537126688</v>
      </c>
    </row>
    <row r="198" spans="1:33" ht="11.25" customHeight="1" x14ac:dyDescent="0.3">
      <c r="A198" s="4" t="s">
        <v>21</v>
      </c>
      <c r="B198" s="4" t="s">
        <v>33</v>
      </c>
      <c r="C198" s="4" t="s">
        <v>23</v>
      </c>
      <c r="D198" s="4" t="s">
        <v>35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44287</v>
      </c>
      <c r="J198" s="6">
        <v>0</v>
      </c>
      <c r="K198" s="6">
        <v>0</v>
      </c>
      <c r="L198" s="6">
        <v>463.14699999999999</v>
      </c>
      <c r="M198" s="6">
        <v>463.14699999999999</v>
      </c>
      <c r="N198" s="6">
        <v>463.14699999999999</v>
      </c>
      <c r="O198" s="6">
        <v>463.14699999999999</v>
      </c>
      <c r="P198" s="6">
        <v>603</v>
      </c>
      <c r="Q198" s="4" t="s">
        <v>26</v>
      </c>
      <c r="R198" s="4">
        <v>0</v>
      </c>
      <c r="S198" s="6">
        <v>0</v>
      </c>
      <c r="T198" s="6">
        <v>55</v>
      </c>
      <c r="U198" s="6">
        <v>6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823.74</v>
      </c>
      <c r="X198" s="6">
        <f>IF(ISERROR(VLOOKUP($U$198,'TAR FIN'!$A$1:$O$85,15,0)),0,VLOOKUP($U$198,'TAR FIN'!$A$1:$O$85,15,0))</f>
        <v>201.73</v>
      </c>
      <c r="Y198" s="6"/>
      <c r="Z198" s="6">
        <f ca="1">('TUSD BE'!$AM$48+'TUSD BF'!$AM$48+'TUSD CVA'!$AM$48)*1</f>
        <v>1046.4709656688399</v>
      </c>
      <c r="AA198" s="6">
        <f>('TE BE'!$AA$38+'TE BF'!$AA$38+'TE CVA'!$AA$38)*1</f>
        <v>225.7947898398177</v>
      </c>
      <c r="AB198" s="6">
        <f>$K$198*$V$198</f>
        <v>0</v>
      </c>
      <c r="AC198" s="6">
        <f>$M$198*$W$198</f>
        <v>381512.70977999998</v>
      </c>
      <c r="AD198" s="6">
        <f>$O$198*$X$198</f>
        <v>93430.644309999989</v>
      </c>
      <c r="AE198" s="6">
        <f>$K$198*$Y$198</f>
        <v>0</v>
      </c>
      <c r="AF198" s="6">
        <f ca="1">$M$198*$Z$198</f>
        <v>484669.88833662617</v>
      </c>
      <c r="AG198" s="6">
        <f>$O$198*$AA$198</f>
        <v>104576.17952994205</v>
      </c>
    </row>
    <row r="199" spans="1:33" ht="11.25" customHeight="1" x14ac:dyDescent="0.3">
      <c r="A199" s="4" t="s">
        <v>27</v>
      </c>
      <c r="B199" s="4" t="s">
        <v>33</v>
      </c>
      <c r="C199" s="4" t="s">
        <v>23</v>
      </c>
      <c r="D199" s="4" t="s">
        <v>35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44287</v>
      </c>
      <c r="J199" s="6">
        <v>0</v>
      </c>
      <c r="K199" s="6">
        <v>0</v>
      </c>
      <c r="L199" s="6">
        <v>-2.343</v>
      </c>
      <c r="M199" s="6">
        <v>-2.343</v>
      </c>
      <c r="N199" s="6">
        <v>-2.343</v>
      </c>
      <c r="O199" s="6">
        <v>-2.343</v>
      </c>
      <c r="P199" s="6">
        <v>0</v>
      </c>
      <c r="Q199" s="4" t="s">
        <v>26</v>
      </c>
      <c r="R199" s="4">
        <v>0</v>
      </c>
      <c r="S199" s="6">
        <v>0</v>
      </c>
      <c r="T199" s="6">
        <v>55</v>
      </c>
      <c r="U199" s="6">
        <v>6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823.74</v>
      </c>
      <c r="X199" s="6">
        <f>IF(ISERROR(VLOOKUP($U$199,'TAR FIN'!$A$1:$O$85,15,0)),0,VLOOKUP($U$199,'TAR FIN'!$A$1:$O$85,15,0))</f>
        <v>201.73</v>
      </c>
      <c r="Y199" s="6"/>
      <c r="Z199" s="6">
        <f ca="1">('TUSD BE'!$AM$48+'TUSD BF'!$AM$48+'TUSD CVA'!$AM$48)*1</f>
        <v>1046.4709656688399</v>
      </c>
      <c r="AA199" s="6">
        <f>('TE BE'!$AA$38+'TE BF'!$AA$38+'TE CVA'!$AA$38)*1</f>
        <v>225.7947898398177</v>
      </c>
      <c r="AB199" s="6">
        <f>$K$199*$V$199</f>
        <v>0</v>
      </c>
      <c r="AC199" s="6">
        <f>$M$199*$W$199</f>
        <v>-1930.0228199999999</v>
      </c>
      <c r="AD199" s="6">
        <f>$O$199*$X$199</f>
        <v>-472.65338999999994</v>
      </c>
      <c r="AE199" s="6">
        <f>$K$199*$Y$199</f>
        <v>0</v>
      </c>
      <c r="AF199" s="6">
        <f ca="1">$M$199*$Z$199</f>
        <v>-2451.8814725620919</v>
      </c>
      <c r="AG199" s="6">
        <f>$O$199*$AA$199</f>
        <v>-529.0371925946929</v>
      </c>
    </row>
    <row r="200" spans="1:33" ht="11.25" customHeight="1" x14ac:dyDescent="0.3">
      <c r="A200" s="4" t="s">
        <v>28</v>
      </c>
      <c r="B200" s="4" t="s">
        <v>33</v>
      </c>
      <c r="C200" s="4" t="s">
        <v>23</v>
      </c>
      <c r="D200" s="4" t="s">
        <v>35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44287</v>
      </c>
      <c r="J200" s="6">
        <v>0</v>
      </c>
      <c r="K200" s="6">
        <v>0</v>
      </c>
      <c r="L200" s="6">
        <v>0.14899999999999999</v>
      </c>
      <c r="M200" s="6">
        <v>0.14899999999999999</v>
      </c>
      <c r="N200" s="6">
        <v>0.14899999999999999</v>
      </c>
      <c r="O200" s="6">
        <v>0.14899999999999999</v>
      </c>
      <c r="P200" s="6">
        <v>1</v>
      </c>
      <c r="Q200" s="4" t="s">
        <v>26</v>
      </c>
      <c r="R200" s="4">
        <v>0</v>
      </c>
      <c r="S200" s="6">
        <v>0</v>
      </c>
      <c r="T200" s="6">
        <v>55</v>
      </c>
      <c r="U200" s="6">
        <v>6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823.74</v>
      </c>
      <c r="X200" s="6">
        <f>IF(ISERROR(VLOOKUP($U$200,'TAR FIN'!$A$1:$O$85,15,0)),0,VLOOKUP($U$200,'TAR FIN'!$A$1:$O$85,15,0))</f>
        <v>201.73</v>
      </c>
      <c r="Y200" s="6"/>
      <c r="Z200" s="6">
        <f ca="1">('TUSD BE'!$AM$48+'TUSD BF'!$AM$48+'TUSD CVA'!$AM$48)*1</f>
        <v>1046.4709656688399</v>
      </c>
      <c r="AA200" s="6">
        <f>('TE BE'!$AA$38+'TE BF'!$AA$38+'TE CVA'!$AA$38)*1</f>
        <v>225.7947898398177</v>
      </c>
      <c r="AB200" s="6">
        <f>$K$200*$V$200</f>
        <v>0</v>
      </c>
      <c r="AC200" s="6">
        <f>$M$200*$W$200</f>
        <v>122.73725999999999</v>
      </c>
      <c r="AD200" s="6">
        <f>$O$200*$X$200</f>
        <v>30.057769999999998</v>
      </c>
      <c r="AE200" s="6">
        <f>$K$200*$Y$200</f>
        <v>0</v>
      </c>
      <c r="AF200" s="6">
        <f ca="1">$M$200*$Z$200</f>
        <v>155.92417388465714</v>
      </c>
      <c r="AG200" s="6">
        <f>$O$200*$AA$200</f>
        <v>33.643423686132834</v>
      </c>
    </row>
    <row r="201" spans="1:33" ht="11.25" customHeight="1" x14ac:dyDescent="0.3">
      <c r="A201" s="4" t="s">
        <v>21</v>
      </c>
      <c r="B201" s="4" t="s">
        <v>33</v>
      </c>
      <c r="C201" s="4" t="s">
        <v>23</v>
      </c>
      <c r="D201" s="4" t="s">
        <v>35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44317</v>
      </c>
      <c r="J201" s="6">
        <v>0</v>
      </c>
      <c r="K201" s="6">
        <v>0</v>
      </c>
      <c r="L201" s="6">
        <v>437.63799999999998</v>
      </c>
      <c r="M201" s="6">
        <v>437.63799999999998</v>
      </c>
      <c r="N201" s="6">
        <v>437.63799999999998</v>
      </c>
      <c r="O201" s="6">
        <v>437.63799999999998</v>
      </c>
      <c r="P201" s="6">
        <v>594</v>
      </c>
      <c r="Q201" s="4" t="s">
        <v>26</v>
      </c>
      <c r="R201" s="4">
        <v>0</v>
      </c>
      <c r="S201" s="6">
        <v>0</v>
      </c>
      <c r="T201" s="6">
        <v>55</v>
      </c>
      <c r="U201" s="6">
        <v>6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823.74</v>
      </c>
      <c r="X201" s="6">
        <f>IF(ISERROR(VLOOKUP($U$201,'TAR FIN'!$A$1:$O$85,15,0)),0,VLOOKUP($U$201,'TAR FIN'!$A$1:$O$85,15,0))</f>
        <v>201.73</v>
      </c>
      <c r="Y201" s="6"/>
      <c r="Z201" s="6">
        <f ca="1">('TUSD BE'!$AM$48+'TUSD BF'!$AM$48+'TUSD CVA'!$AM$48)*1</f>
        <v>1046.4709656688399</v>
      </c>
      <c r="AA201" s="6">
        <f>('TE BE'!$AA$38+'TE BF'!$AA$38+'TE CVA'!$AA$38)*1</f>
        <v>225.7947898398177</v>
      </c>
      <c r="AB201" s="6">
        <f>$K$201*$V$201</f>
        <v>0</v>
      </c>
      <c r="AC201" s="6">
        <f>$M$201*$W$201</f>
        <v>360499.92611999996</v>
      </c>
      <c r="AD201" s="6">
        <f>$O$201*$X$201</f>
        <v>88284.713739999992</v>
      </c>
      <c r="AE201" s="6">
        <f>$K$201*$Y$201</f>
        <v>0</v>
      </c>
      <c r="AF201" s="6">
        <f ca="1">$M$201*$Z$201</f>
        <v>457975.4604733797</v>
      </c>
      <c r="AG201" s="6">
        <f>$O$201*$AA$201</f>
        <v>98816.380235918128</v>
      </c>
    </row>
    <row r="202" spans="1:33" ht="11.25" customHeight="1" x14ac:dyDescent="0.3">
      <c r="A202" s="4" t="s">
        <v>27</v>
      </c>
      <c r="B202" s="4" t="s">
        <v>33</v>
      </c>
      <c r="C202" s="4" t="s">
        <v>23</v>
      </c>
      <c r="D202" s="4" t="s">
        <v>35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44317</v>
      </c>
      <c r="J202" s="6">
        <v>0</v>
      </c>
      <c r="K202" s="6">
        <v>0</v>
      </c>
      <c r="L202" s="6">
        <v>-9.9450000000000003</v>
      </c>
      <c r="M202" s="6">
        <v>-9.9450000000000003</v>
      </c>
      <c r="N202" s="6">
        <v>-9.9450000000000003</v>
      </c>
      <c r="O202" s="6">
        <v>-9.9450000000000003</v>
      </c>
      <c r="P202" s="6">
        <v>0</v>
      </c>
      <c r="Q202" s="4" t="s">
        <v>26</v>
      </c>
      <c r="R202" s="4">
        <v>0</v>
      </c>
      <c r="S202" s="6">
        <v>0</v>
      </c>
      <c r="T202" s="6">
        <v>55</v>
      </c>
      <c r="U202" s="6">
        <v>6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823.74</v>
      </c>
      <c r="X202" s="6">
        <f>IF(ISERROR(VLOOKUP($U$202,'TAR FIN'!$A$1:$O$85,15,0)),0,VLOOKUP($U$202,'TAR FIN'!$A$1:$O$85,15,0))</f>
        <v>201.73</v>
      </c>
      <c r="Y202" s="6"/>
      <c r="Z202" s="6">
        <f ca="1">('TUSD BE'!$AM$48+'TUSD BF'!$AM$48+'TUSD CVA'!$AM$48)*1</f>
        <v>1046.4709656688399</v>
      </c>
      <c r="AA202" s="6">
        <f>('TE BE'!$AA$38+'TE BF'!$AA$38+'TE CVA'!$AA$38)*1</f>
        <v>225.7947898398177</v>
      </c>
      <c r="AB202" s="6">
        <f>$K$202*$V$202</f>
        <v>0</v>
      </c>
      <c r="AC202" s="6">
        <f>$M$202*$W$202</f>
        <v>-8192.0943000000007</v>
      </c>
      <c r="AD202" s="6">
        <f>$O$202*$X$202</f>
        <v>-2006.2048499999999</v>
      </c>
      <c r="AE202" s="6">
        <f>$K$202*$Y$202</f>
        <v>0</v>
      </c>
      <c r="AF202" s="6">
        <f ca="1">$M$202*$Z$202</f>
        <v>-10407.153753576613</v>
      </c>
      <c r="AG202" s="6">
        <f>$O$202*$AA$202</f>
        <v>-2245.5291849569871</v>
      </c>
    </row>
    <row r="203" spans="1:33" ht="11.25" customHeight="1" x14ac:dyDescent="0.3">
      <c r="A203" s="4" t="s">
        <v>28</v>
      </c>
      <c r="B203" s="4" t="s">
        <v>33</v>
      </c>
      <c r="C203" s="4" t="s">
        <v>23</v>
      </c>
      <c r="D203" s="4" t="s">
        <v>35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44317</v>
      </c>
      <c r="J203" s="6">
        <v>0</v>
      </c>
      <c r="K203" s="6">
        <v>0</v>
      </c>
      <c r="L203" s="6">
        <v>1.9239999999999999</v>
      </c>
      <c r="M203" s="6">
        <v>1.9239999999999999</v>
      </c>
      <c r="N203" s="6">
        <v>1.9239999999999999</v>
      </c>
      <c r="O203" s="6">
        <v>1.9239999999999999</v>
      </c>
      <c r="P203" s="6">
        <v>2</v>
      </c>
      <c r="Q203" s="4" t="s">
        <v>26</v>
      </c>
      <c r="R203" s="4">
        <v>0</v>
      </c>
      <c r="S203" s="6">
        <v>0</v>
      </c>
      <c r="T203" s="6">
        <v>55</v>
      </c>
      <c r="U203" s="6">
        <v>6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823.74</v>
      </c>
      <c r="X203" s="6">
        <f>IF(ISERROR(VLOOKUP($U$203,'TAR FIN'!$A$1:$O$85,15,0)),0,VLOOKUP($U$203,'TAR FIN'!$A$1:$O$85,15,0))</f>
        <v>201.73</v>
      </c>
      <c r="Y203" s="6"/>
      <c r="Z203" s="6">
        <f ca="1">('TUSD BE'!$AM$48+'TUSD BF'!$AM$48+'TUSD CVA'!$AM$48)*1</f>
        <v>1046.4709656688399</v>
      </c>
      <c r="AA203" s="6">
        <f>('TE BE'!$AA$38+'TE BF'!$AA$38+'TE CVA'!$AA$38)*1</f>
        <v>225.7947898398177</v>
      </c>
      <c r="AB203" s="6">
        <f>$K$203*$V$203</f>
        <v>0</v>
      </c>
      <c r="AC203" s="6">
        <f>$M$203*$W$203</f>
        <v>1584.8757599999999</v>
      </c>
      <c r="AD203" s="6">
        <f>$O$203*$X$203</f>
        <v>388.12851999999998</v>
      </c>
      <c r="AE203" s="6">
        <f>$K$203*$Y$203</f>
        <v>0</v>
      </c>
      <c r="AF203" s="6">
        <f ca="1">$M$203*$Z$203</f>
        <v>2013.410137946848</v>
      </c>
      <c r="AG203" s="6">
        <f>$O$203*$AA$203</f>
        <v>434.42917565180926</v>
      </c>
    </row>
    <row r="204" spans="1:33" ht="11.25" customHeight="1" x14ac:dyDescent="0.3">
      <c r="A204" s="4" t="s">
        <v>21</v>
      </c>
      <c r="B204" s="4" t="s">
        <v>33</v>
      </c>
      <c r="C204" s="4" t="s">
        <v>23</v>
      </c>
      <c r="D204" s="4" t="s">
        <v>35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44348</v>
      </c>
      <c r="J204" s="6">
        <v>0</v>
      </c>
      <c r="K204" s="6">
        <v>0</v>
      </c>
      <c r="L204" s="6">
        <v>447.267</v>
      </c>
      <c r="M204" s="6">
        <v>447.267</v>
      </c>
      <c r="N204" s="6">
        <v>447.267</v>
      </c>
      <c r="O204" s="6">
        <v>447.267</v>
      </c>
      <c r="P204" s="6">
        <v>593</v>
      </c>
      <c r="Q204" s="4" t="s">
        <v>26</v>
      </c>
      <c r="R204" s="4">
        <v>0</v>
      </c>
      <c r="S204" s="6">
        <v>0</v>
      </c>
      <c r="T204" s="6">
        <v>55</v>
      </c>
      <c r="U204" s="6">
        <v>6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823.74</v>
      </c>
      <c r="X204" s="6">
        <f>IF(ISERROR(VLOOKUP($U$204,'TAR FIN'!$A$1:$O$85,15,0)),0,VLOOKUP($U$204,'TAR FIN'!$A$1:$O$85,15,0))</f>
        <v>201.73</v>
      </c>
      <c r="Y204" s="6"/>
      <c r="Z204" s="6">
        <f ca="1">('TUSD BE'!$AM$48+'TUSD BF'!$AM$48+'TUSD CVA'!$AM$48)*1</f>
        <v>1046.4709656688399</v>
      </c>
      <c r="AA204" s="6">
        <f>('TE BE'!$AA$38+'TE BF'!$AA$38+'TE CVA'!$AA$38)*1</f>
        <v>225.7947898398177</v>
      </c>
      <c r="AB204" s="6">
        <f>$K$204*$V$204</f>
        <v>0</v>
      </c>
      <c r="AC204" s="6">
        <f>$M$204*$W$204</f>
        <v>368431.71857999999</v>
      </c>
      <c r="AD204" s="6">
        <f>$O$204*$X$204</f>
        <v>90227.17190999999</v>
      </c>
      <c r="AE204" s="6">
        <f>$K$204*$Y$204</f>
        <v>0</v>
      </c>
      <c r="AF204" s="6">
        <f ca="1">$M$204*$Z$204</f>
        <v>468051.92940180498</v>
      </c>
      <c r="AG204" s="6">
        <f>$O$204*$AA$204</f>
        <v>100990.55826728574</v>
      </c>
    </row>
    <row r="205" spans="1:33" ht="11.25" customHeight="1" x14ac:dyDescent="0.3">
      <c r="A205" s="4" t="s">
        <v>28</v>
      </c>
      <c r="B205" s="4" t="s">
        <v>33</v>
      </c>
      <c r="C205" s="4" t="s">
        <v>23</v>
      </c>
      <c r="D205" s="4" t="s">
        <v>35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44348</v>
      </c>
      <c r="J205" s="6">
        <v>0</v>
      </c>
      <c r="K205" s="6">
        <v>0</v>
      </c>
      <c r="L205" s="6">
        <v>4.5640000000000001</v>
      </c>
      <c r="M205" s="6">
        <v>4.5640000000000001</v>
      </c>
      <c r="N205" s="6">
        <v>4.5640000000000001</v>
      </c>
      <c r="O205" s="6">
        <v>4.5640000000000001</v>
      </c>
      <c r="P205" s="6">
        <v>3</v>
      </c>
      <c r="Q205" s="4" t="s">
        <v>26</v>
      </c>
      <c r="R205" s="4">
        <v>0</v>
      </c>
      <c r="S205" s="6">
        <v>0</v>
      </c>
      <c r="T205" s="6">
        <v>55</v>
      </c>
      <c r="U205" s="6">
        <v>6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823.74</v>
      </c>
      <c r="X205" s="6">
        <f>IF(ISERROR(VLOOKUP($U$205,'TAR FIN'!$A$1:$O$85,15,0)),0,VLOOKUP($U$205,'TAR FIN'!$A$1:$O$85,15,0))</f>
        <v>201.73</v>
      </c>
      <c r="Y205" s="6"/>
      <c r="Z205" s="6">
        <f ca="1">('TUSD BE'!$AM$48+'TUSD BF'!$AM$48+'TUSD CVA'!$AM$48)*1</f>
        <v>1046.4709656688399</v>
      </c>
      <c r="AA205" s="6">
        <f>('TE BE'!$AA$38+'TE BF'!$AA$38+'TE CVA'!$AA$38)*1</f>
        <v>225.7947898398177</v>
      </c>
      <c r="AB205" s="6">
        <f>$K$205*$V$205</f>
        <v>0</v>
      </c>
      <c r="AC205" s="6">
        <f>$M$205*$W$205</f>
        <v>3759.54936</v>
      </c>
      <c r="AD205" s="6">
        <f>$O$205*$X$205</f>
        <v>920.69571999999994</v>
      </c>
      <c r="AE205" s="6">
        <f>$K$205*$Y$205</f>
        <v>0</v>
      </c>
      <c r="AF205" s="6">
        <f ca="1">$M$205*$Z$205</f>
        <v>4776.0934873125852</v>
      </c>
      <c r="AG205" s="6">
        <f>$O$205*$AA$205</f>
        <v>1030.5274208289279</v>
      </c>
    </row>
    <row r="206" spans="1:33" ht="11.25" customHeight="1" x14ac:dyDescent="0.3">
      <c r="A206" s="4" t="s">
        <v>21</v>
      </c>
      <c r="B206" s="4" t="s">
        <v>33</v>
      </c>
      <c r="C206" s="4" t="s">
        <v>23</v>
      </c>
      <c r="D206" s="4" t="s">
        <v>35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44378</v>
      </c>
      <c r="J206" s="6">
        <v>0</v>
      </c>
      <c r="K206" s="6">
        <v>0</v>
      </c>
      <c r="L206" s="6">
        <v>418.59500000000003</v>
      </c>
      <c r="M206" s="6">
        <v>418.59500000000003</v>
      </c>
      <c r="N206" s="6">
        <v>418.59500000000003</v>
      </c>
      <c r="O206" s="6">
        <v>418.59500000000003</v>
      </c>
      <c r="P206" s="6">
        <v>595</v>
      </c>
      <c r="Q206" s="4" t="s">
        <v>26</v>
      </c>
      <c r="R206" s="4">
        <v>0</v>
      </c>
      <c r="S206" s="6">
        <v>0</v>
      </c>
      <c r="T206" s="6">
        <v>55</v>
      </c>
      <c r="U206" s="6">
        <v>6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823.74</v>
      </c>
      <c r="X206" s="6">
        <f>IF(ISERROR(VLOOKUP($U$206,'TAR FIN'!$A$1:$O$85,15,0)),0,VLOOKUP($U$206,'TAR FIN'!$A$1:$O$85,15,0))</f>
        <v>201.73</v>
      </c>
      <c r="Y206" s="6"/>
      <c r="Z206" s="6">
        <f ca="1">('TUSD BE'!$AM$48+'TUSD BF'!$AM$48+'TUSD CVA'!$AM$48)*1</f>
        <v>1046.4709656688399</v>
      </c>
      <c r="AA206" s="6">
        <f>('TE BE'!$AA$38+'TE BF'!$AA$38+'TE CVA'!$AA$38)*1</f>
        <v>225.7947898398177</v>
      </c>
      <c r="AB206" s="6">
        <f>$K$206*$V$206</f>
        <v>0</v>
      </c>
      <c r="AC206" s="6">
        <f>$M$206*$W$206</f>
        <v>344813.44530000002</v>
      </c>
      <c r="AD206" s="6">
        <f>$O$206*$X$206</f>
        <v>84443.169349999996</v>
      </c>
      <c r="AE206" s="6">
        <f>$K$206*$Y$206</f>
        <v>0</v>
      </c>
      <c r="AF206" s="6">
        <f ca="1">$M$206*$Z$206</f>
        <v>438047.51387414808</v>
      </c>
      <c r="AG206" s="6">
        <f>$O$206*$AA$206</f>
        <v>94516.57005299849</v>
      </c>
    </row>
    <row r="207" spans="1:33" ht="11.25" customHeight="1" x14ac:dyDescent="0.3">
      <c r="A207" s="4" t="s">
        <v>28</v>
      </c>
      <c r="B207" s="4" t="s">
        <v>33</v>
      </c>
      <c r="C207" s="4" t="s">
        <v>23</v>
      </c>
      <c r="D207" s="4" t="s">
        <v>35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44378</v>
      </c>
      <c r="J207" s="6">
        <v>0</v>
      </c>
      <c r="K207" s="6">
        <v>0</v>
      </c>
      <c r="L207" s="6">
        <v>2.0670000000000002</v>
      </c>
      <c r="M207" s="6">
        <v>2.0670000000000002</v>
      </c>
      <c r="N207" s="6">
        <v>2.0670000000000002</v>
      </c>
      <c r="O207" s="6">
        <v>2.0670000000000002</v>
      </c>
      <c r="P207" s="6">
        <v>4</v>
      </c>
      <c r="Q207" s="4" t="s">
        <v>26</v>
      </c>
      <c r="R207" s="4">
        <v>0</v>
      </c>
      <c r="S207" s="6">
        <v>0</v>
      </c>
      <c r="T207" s="6">
        <v>55</v>
      </c>
      <c r="U207" s="6">
        <v>6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823.74</v>
      </c>
      <c r="X207" s="6">
        <f>IF(ISERROR(VLOOKUP($U$207,'TAR FIN'!$A$1:$O$85,15,0)),0,VLOOKUP($U$207,'TAR FIN'!$A$1:$O$85,15,0))</f>
        <v>201.73</v>
      </c>
      <c r="Y207" s="6"/>
      <c r="Z207" s="6">
        <f ca="1">('TUSD BE'!$AM$48+'TUSD BF'!$AM$48+'TUSD CVA'!$AM$48)*1</f>
        <v>1046.4709656688399</v>
      </c>
      <c r="AA207" s="6">
        <f>('TE BE'!$AA$38+'TE BF'!$AA$38+'TE CVA'!$AA$38)*1</f>
        <v>225.7947898398177</v>
      </c>
      <c r="AB207" s="6">
        <f>$K$207*$V$207</f>
        <v>0</v>
      </c>
      <c r="AC207" s="6">
        <f>$M$207*$W$207</f>
        <v>1702.6705800000002</v>
      </c>
      <c r="AD207" s="6">
        <f>$O$207*$X$207</f>
        <v>416.97591</v>
      </c>
      <c r="AE207" s="6">
        <f>$K$207*$Y$207</f>
        <v>0</v>
      </c>
      <c r="AF207" s="6">
        <f ca="1">$M$207*$Z$207</f>
        <v>2163.0554860374923</v>
      </c>
      <c r="AG207" s="6">
        <f>$O$207*$AA$207</f>
        <v>466.71783059890322</v>
      </c>
    </row>
    <row r="208" spans="1:33" ht="11.25" customHeight="1" x14ac:dyDescent="0.3">
      <c r="A208" s="4" t="s">
        <v>21</v>
      </c>
      <c r="B208" s="4" t="s">
        <v>33</v>
      </c>
      <c r="C208" s="4" t="s">
        <v>23</v>
      </c>
      <c r="D208" s="4" t="s">
        <v>35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0</v>
      </c>
      <c r="K208" s="6">
        <v>0</v>
      </c>
      <c r="L208" s="6">
        <v>459.61200000000002</v>
      </c>
      <c r="M208" s="6">
        <v>459.61200000000002</v>
      </c>
      <c r="N208" s="6">
        <v>459.61200000000002</v>
      </c>
      <c r="O208" s="6">
        <v>459.61200000000002</v>
      </c>
      <c r="P208" s="6">
        <v>595</v>
      </c>
      <c r="Q208" s="4" t="s">
        <v>26</v>
      </c>
      <c r="R208" s="4">
        <v>0</v>
      </c>
      <c r="S208" s="6">
        <v>0</v>
      </c>
      <c r="T208" s="6">
        <v>55</v>
      </c>
      <c r="U208" s="6">
        <v>6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823.74</v>
      </c>
      <c r="X208" s="6">
        <f>IF(ISERROR(VLOOKUP($U$208,'TAR FIN'!$A$1:$O$85,15,0)),0,VLOOKUP($U$208,'TAR FIN'!$A$1:$O$85,15,0))</f>
        <v>201.73</v>
      </c>
      <c r="Y208" s="6"/>
      <c r="Z208" s="6">
        <f ca="1">('TUSD BE'!$AM$48+'TUSD BF'!$AM$48+'TUSD CVA'!$AM$48)*1</f>
        <v>1046.4709656688399</v>
      </c>
      <c r="AA208" s="6">
        <f>('TE BE'!$AA$38+'TE BF'!$AA$38+'TE CVA'!$AA$38)*1</f>
        <v>225.7947898398177</v>
      </c>
      <c r="AB208" s="6">
        <f>$K$208*$V$208</f>
        <v>0</v>
      </c>
      <c r="AC208" s="6">
        <f>$M$208*$W$208</f>
        <v>378600.78888000001</v>
      </c>
      <c r="AD208" s="6">
        <f>$O$208*$X$208</f>
        <v>92717.528760000001</v>
      </c>
      <c r="AE208" s="6">
        <f>$K$208*$Y$208</f>
        <v>0</v>
      </c>
      <c r="AF208" s="6">
        <f ca="1">$M$208*$Z$208</f>
        <v>480970.61347298685</v>
      </c>
      <c r="AG208" s="6">
        <f>$O$208*$AA$208</f>
        <v>103777.9949478583</v>
      </c>
    </row>
    <row r="209" spans="1:33" ht="11.25" customHeight="1" x14ac:dyDescent="0.3">
      <c r="A209" s="4" t="s">
        <v>28</v>
      </c>
      <c r="B209" s="4" t="s">
        <v>33</v>
      </c>
      <c r="C209" s="4" t="s">
        <v>23</v>
      </c>
      <c r="D209" s="4" t="s">
        <v>35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44409</v>
      </c>
      <c r="J209" s="6">
        <v>0</v>
      </c>
      <c r="K209" s="6">
        <v>0</v>
      </c>
      <c r="L209" s="6">
        <v>4.7469999999999999</v>
      </c>
      <c r="M209" s="6">
        <v>4.7469999999999999</v>
      </c>
      <c r="N209" s="6">
        <v>4.7469999999999999</v>
      </c>
      <c r="O209" s="6">
        <v>4.7469999999999999</v>
      </c>
      <c r="P209" s="6">
        <v>5</v>
      </c>
      <c r="Q209" s="4" t="s">
        <v>26</v>
      </c>
      <c r="R209" s="4">
        <v>0</v>
      </c>
      <c r="S209" s="6">
        <v>0</v>
      </c>
      <c r="T209" s="6">
        <v>55</v>
      </c>
      <c r="U209" s="6">
        <v>6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823.74</v>
      </c>
      <c r="X209" s="6">
        <f>IF(ISERROR(VLOOKUP($U$209,'TAR FIN'!$A$1:$O$85,15,0)),0,VLOOKUP($U$209,'TAR FIN'!$A$1:$O$85,15,0))</f>
        <v>201.73</v>
      </c>
      <c r="Y209" s="6"/>
      <c r="Z209" s="6">
        <f ca="1">('TUSD BE'!$AM$48+'TUSD BF'!$AM$48+'TUSD CVA'!$AM$48)*1</f>
        <v>1046.4709656688399</v>
      </c>
      <c r="AA209" s="6">
        <f>('TE BE'!$AA$38+'TE BF'!$AA$38+'TE CVA'!$AA$38)*1</f>
        <v>225.7947898398177</v>
      </c>
      <c r="AB209" s="6">
        <f>$K$209*$V$209</f>
        <v>0</v>
      </c>
      <c r="AC209" s="6">
        <f>$M$209*$W$209</f>
        <v>3910.29378</v>
      </c>
      <c r="AD209" s="6">
        <f>$O$209*$X$209</f>
        <v>957.61230999999998</v>
      </c>
      <c r="AE209" s="6">
        <f>$K$209*$Y$209</f>
        <v>0</v>
      </c>
      <c r="AF209" s="6">
        <f ca="1">$M$209*$Z$209</f>
        <v>4967.597674029983</v>
      </c>
      <c r="AG209" s="6">
        <f>$O$209*$AA$209</f>
        <v>1071.8478673696145</v>
      </c>
    </row>
    <row r="210" spans="1:33" ht="11.25" customHeight="1" x14ac:dyDescent="0.3">
      <c r="A210" s="4" t="s">
        <v>21</v>
      </c>
      <c r="B210" s="4" t="s">
        <v>33</v>
      </c>
      <c r="C210" s="4" t="s">
        <v>23</v>
      </c>
      <c r="D210" s="4" t="s">
        <v>35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498.40899999999999</v>
      </c>
      <c r="M210" s="6">
        <v>498.40899999999999</v>
      </c>
      <c r="N210" s="6">
        <v>498.40899999999999</v>
      </c>
      <c r="O210" s="6">
        <v>498.40899999999999</v>
      </c>
      <c r="P210" s="6">
        <v>600</v>
      </c>
      <c r="Q210" s="4" t="s">
        <v>26</v>
      </c>
      <c r="R210" s="4">
        <v>0</v>
      </c>
      <c r="S210" s="6">
        <v>0</v>
      </c>
      <c r="T210" s="6">
        <v>55</v>
      </c>
      <c r="U210" s="6">
        <v>6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823.74</v>
      </c>
      <c r="X210" s="6">
        <f>IF(ISERROR(VLOOKUP($U$210,'TAR FIN'!$A$1:$O$85,15,0)),0,VLOOKUP($U$210,'TAR FIN'!$A$1:$O$85,15,0))</f>
        <v>201.73</v>
      </c>
      <c r="Y210" s="6"/>
      <c r="Z210" s="6">
        <f ca="1">('TUSD BE'!$AM$48+'TUSD BF'!$AM$48+'TUSD CVA'!$AM$48)*1</f>
        <v>1046.4709656688399</v>
      </c>
      <c r="AA210" s="6">
        <f>('TE BE'!$AA$38+'TE BF'!$AA$38+'TE CVA'!$AA$38)*1</f>
        <v>225.7947898398177</v>
      </c>
      <c r="AB210" s="6">
        <f>$K$210*$V$210</f>
        <v>0</v>
      </c>
      <c r="AC210" s="6">
        <f>$M$210*$W$210</f>
        <v>410559.42966000002</v>
      </c>
      <c r="AD210" s="6">
        <f>$O$210*$X$210</f>
        <v>100544.04757</v>
      </c>
      <c r="AE210" s="6">
        <f>$K$210*$Y$210</f>
        <v>0</v>
      </c>
      <c r="AF210" s="6">
        <f ca="1">$M$210*$Z$210</f>
        <v>521570.54752804083</v>
      </c>
      <c r="AG210" s="6">
        <f>$O$210*$AA$210</f>
        <v>112538.15540927369</v>
      </c>
    </row>
    <row r="211" spans="1:33" ht="11.25" customHeight="1" x14ac:dyDescent="0.3">
      <c r="A211" s="4" t="s">
        <v>28</v>
      </c>
      <c r="B211" s="4" t="s">
        <v>33</v>
      </c>
      <c r="C211" s="4" t="s">
        <v>23</v>
      </c>
      <c r="D211" s="4" t="s">
        <v>35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5.859</v>
      </c>
      <c r="M211" s="6">
        <v>5.859</v>
      </c>
      <c r="N211" s="6">
        <v>5.859</v>
      </c>
      <c r="O211" s="6">
        <v>5.859</v>
      </c>
      <c r="P211" s="6">
        <v>5</v>
      </c>
      <c r="Q211" s="4" t="s">
        <v>26</v>
      </c>
      <c r="R211" s="4">
        <v>0</v>
      </c>
      <c r="S211" s="6">
        <v>0</v>
      </c>
      <c r="T211" s="6">
        <v>55</v>
      </c>
      <c r="U211" s="6">
        <v>6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823.74</v>
      </c>
      <c r="X211" s="6">
        <f>IF(ISERROR(VLOOKUP($U$211,'TAR FIN'!$A$1:$O$85,15,0)),0,VLOOKUP($U$211,'TAR FIN'!$A$1:$O$85,15,0))</f>
        <v>201.73</v>
      </c>
      <c r="Y211" s="6"/>
      <c r="Z211" s="6">
        <f ca="1">('TUSD BE'!$AM$48+'TUSD BF'!$AM$48+'TUSD CVA'!$AM$48)*1</f>
        <v>1046.4709656688399</v>
      </c>
      <c r="AA211" s="6">
        <f>('TE BE'!$AA$38+'TE BF'!$AA$38+'TE CVA'!$AA$38)*1</f>
        <v>225.7947898398177</v>
      </c>
      <c r="AB211" s="6">
        <f>$K$211*$V$211</f>
        <v>0</v>
      </c>
      <c r="AC211" s="6">
        <f>$M$211*$W$211</f>
        <v>4826.2926600000001</v>
      </c>
      <c r="AD211" s="6">
        <f>$O$211*$X$211</f>
        <v>1181.93607</v>
      </c>
      <c r="AE211" s="6">
        <f>$K$211*$Y$211</f>
        <v>0</v>
      </c>
      <c r="AF211" s="6">
        <f ca="1">$M$211*$Z$211</f>
        <v>6131.2733878537329</v>
      </c>
      <c r="AG211" s="6">
        <f>$O$211*$AA$211</f>
        <v>1322.9316736714918</v>
      </c>
    </row>
    <row r="212" spans="1:33" ht="11.25" customHeight="1" x14ac:dyDescent="0.3">
      <c r="A212" s="4" t="s">
        <v>21</v>
      </c>
      <c r="B212" s="4" t="s">
        <v>33</v>
      </c>
      <c r="C212" s="4" t="s">
        <v>23</v>
      </c>
      <c r="D212" s="4" t="s">
        <v>35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501.18400000000003</v>
      </c>
      <c r="M212" s="6">
        <v>501.18400000000003</v>
      </c>
      <c r="N212" s="6">
        <v>501.18400000000003</v>
      </c>
      <c r="O212" s="6">
        <v>501.18400000000003</v>
      </c>
      <c r="P212" s="6">
        <v>606</v>
      </c>
      <c r="Q212" s="4" t="s">
        <v>26</v>
      </c>
      <c r="R212" s="4">
        <v>0</v>
      </c>
      <c r="S212" s="6">
        <v>0</v>
      </c>
      <c r="T212" s="6">
        <v>55</v>
      </c>
      <c r="U212" s="6">
        <v>6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823.74</v>
      </c>
      <c r="X212" s="6">
        <f>IF(ISERROR(VLOOKUP($U$212,'TAR FIN'!$A$1:$O$85,15,0)),0,VLOOKUP($U$212,'TAR FIN'!$A$1:$O$85,15,0))</f>
        <v>201.73</v>
      </c>
      <c r="Y212" s="6"/>
      <c r="Z212" s="6">
        <f ca="1">('TUSD BE'!$AM$48+'TUSD BF'!$AM$48+'TUSD CVA'!$AM$48)*1</f>
        <v>1046.4709656688399</v>
      </c>
      <c r="AA212" s="6">
        <f>('TE BE'!$AA$38+'TE BF'!$AA$38+'TE CVA'!$AA$38)*1</f>
        <v>225.7947898398177</v>
      </c>
      <c r="AB212" s="6">
        <f>$K$212*$V$212</f>
        <v>0</v>
      </c>
      <c r="AC212" s="6">
        <f>$M$212*$W$212</f>
        <v>412845.30816000002</v>
      </c>
      <c r="AD212" s="6">
        <f>$O$212*$X$212</f>
        <v>101103.84832</v>
      </c>
      <c r="AE212" s="6">
        <f>$K$212*$Y$212</f>
        <v>0</v>
      </c>
      <c r="AF212" s="6">
        <f ca="1">$M$212*$Z$212</f>
        <v>524474.50445777189</v>
      </c>
      <c r="AG212" s="6">
        <f>$O$212*$AA$212</f>
        <v>113164.7359510792</v>
      </c>
    </row>
    <row r="213" spans="1:33" ht="11.25" customHeight="1" x14ac:dyDescent="0.3">
      <c r="A213" s="4" t="s">
        <v>28</v>
      </c>
      <c r="B213" s="4" t="s">
        <v>33</v>
      </c>
      <c r="C213" s="4" t="s">
        <v>23</v>
      </c>
      <c r="D213" s="4" t="s">
        <v>35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7.9329999999999998</v>
      </c>
      <c r="M213" s="6">
        <v>7.9329999999999998</v>
      </c>
      <c r="N213" s="6">
        <v>7.9329999999999998</v>
      </c>
      <c r="O213" s="6">
        <v>7.9329999999999998</v>
      </c>
      <c r="P213" s="6">
        <v>5</v>
      </c>
      <c r="Q213" s="4" t="s">
        <v>26</v>
      </c>
      <c r="R213" s="4">
        <v>0</v>
      </c>
      <c r="S213" s="6">
        <v>0</v>
      </c>
      <c r="T213" s="6">
        <v>55</v>
      </c>
      <c r="U213" s="6">
        <v>6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823.74</v>
      </c>
      <c r="X213" s="6">
        <f>IF(ISERROR(VLOOKUP($U$213,'TAR FIN'!$A$1:$O$85,15,0)),0,VLOOKUP($U$213,'TAR FIN'!$A$1:$O$85,15,0))</f>
        <v>201.73</v>
      </c>
      <c r="Y213" s="6"/>
      <c r="Z213" s="6">
        <f ca="1">('TUSD BE'!$AM$48+'TUSD BF'!$AM$48+'TUSD CVA'!$AM$48)*1</f>
        <v>1046.4709656688399</v>
      </c>
      <c r="AA213" s="6">
        <f>('TE BE'!$AA$38+'TE BF'!$AA$38+'TE CVA'!$AA$38)*1</f>
        <v>225.7947898398177</v>
      </c>
      <c r="AB213" s="6">
        <f>$K$213*$V$213</f>
        <v>0</v>
      </c>
      <c r="AC213" s="6">
        <f>$M$213*$W$213</f>
        <v>6534.7294199999997</v>
      </c>
      <c r="AD213" s="6">
        <f>$O$213*$X$213</f>
        <v>1600.3240899999998</v>
      </c>
      <c r="AE213" s="6">
        <f>$K$213*$Y$213</f>
        <v>0</v>
      </c>
      <c r="AF213" s="6">
        <f ca="1">$M$213*$Z$213</f>
        <v>8301.654170650907</v>
      </c>
      <c r="AG213" s="6">
        <f>$O$213*$AA$213</f>
        <v>1791.2300677992737</v>
      </c>
    </row>
    <row r="214" spans="1:33" ht="11.25" customHeight="1" x14ac:dyDescent="0.3">
      <c r="A214" s="4" t="s">
        <v>21</v>
      </c>
      <c r="B214" s="4" t="s">
        <v>33</v>
      </c>
      <c r="C214" s="4" t="s">
        <v>23</v>
      </c>
      <c r="D214" s="4" t="s">
        <v>35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44501</v>
      </c>
      <c r="J214" s="6">
        <v>0</v>
      </c>
      <c r="K214" s="6">
        <v>0</v>
      </c>
      <c r="L214" s="6">
        <v>547.678</v>
      </c>
      <c r="M214" s="6">
        <v>547.678</v>
      </c>
      <c r="N214" s="6">
        <v>547.678</v>
      </c>
      <c r="O214" s="6">
        <v>547.678</v>
      </c>
      <c r="P214" s="6">
        <v>614</v>
      </c>
      <c r="Q214" s="4" t="s">
        <v>26</v>
      </c>
      <c r="R214" s="4">
        <v>0</v>
      </c>
      <c r="S214" s="6">
        <v>0</v>
      </c>
      <c r="T214" s="6">
        <v>55</v>
      </c>
      <c r="U214" s="6">
        <v>6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823.74</v>
      </c>
      <c r="X214" s="6">
        <f>IF(ISERROR(VLOOKUP($U$214,'TAR FIN'!$A$1:$O$85,15,0)),0,VLOOKUP($U$214,'TAR FIN'!$A$1:$O$85,15,0))</f>
        <v>201.73</v>
      </c>
      <c r="Y214" s="6"/>
      <c r="Z214" s="6">
        <f ca="1">('TUSD BE'!$AM$48+'TUSD BF'!$AM$48+'TUSD CVA'!$AM$48)*1</f>
        <v>1046.4709656688399</v>
      </c>
      <c r="AA214" s="6">
        <f>('TE BE'!$AA$38+'TE BF'!$AA$38+'TE CVA'!$AA$38)*1</f>
        <v>225.7947898398177</v>
      </c>
      <c r="AB214" s="6">
        <f>$K$214*$V$214</f>
        <v>0</v>
      </c>
      <c r="AC214" s="6">
        <f>$M$214*$W$214</f>
        <v>451144.27571999998</v>
      </c>
      <c r="AD214" s="6">
        <f>$O$214*$X$214</f>
        <v>110483.08293999999</v>
      </c>
      <c r="AE214" s="6">
        <f>$K$214*$Y$214</f>
        <v>0</v>
      </c>
      <c r="AF214" s="6">
        <f ca="1">$M$214*$Z$214</f>
        <v>573129.12553557893</v>
      </c>
      <c r="AG214" s="6">
        <f>$O$214*$AA$214</f>
        <v>123662.83890989168</v>
      </c>
    </row>
    <row r="215" spans="1:33" ht="11.25" customHeight="1" x14ac:dyDescent="0.3">
      <c r="A215" s="4" t="s">
        <v>27</v>
      </c>
      <c r="B215" s="4" t="s">
        <v>33</v>
      </c>
      <c r="C215" s="4" t="s">
        <v>23</v>
      </c>
      <c r="D215" s="4" t="s">
        <v>35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-1.0660000000000001</v>
      </c>
      <c r="M215" s="6">
        <v>-1.0660000000000001</v>
      </c>
      <c r="N215" s="6">
        <v>-1.0660000000000001</v>
      </c>
      <c r="O215" s="6">
        <v>-1.0660000000000001</v>
      </c>
      <c r="P215" s="6">
        <v>0</v>
      </c>
      <c r="Q215" s="4" t="s">
        <v>26</v>
      </c>
      <c r="R215" s="4">
        <v>0</v>
      </c>
      <c r="S215" s="6">
        <v>0</v>
      </c>
      <c r="T215" s="6">
        <v>55</v>
      </c>
      <c r="U215" s="6">
        <v>6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823.74</v>
      </c>
      <c r="X215" s="6">
        <f>IF(ISERROR(VLOOKUP($U$215,'TAR FIN'!$A$1:$O$85,15,0)),0,VLOOKUP($U$215,'TAR FIN'!$A$1:$O$85,15,0))</f>
        <v>201.73</v>
      </c>
      <c r="Y215" s="6"/>
      <c r="Z215" s="6">
        <f ca="1">('TUSD BE'!$AM$48+'TUSD BF'!$AM$48+'TUSD CVA'!$AM$48)*1</f>
        <v>1046.4709656688399</v>
      </c>
      <c r="AA215" s="6">
        <f>('TE BE'!$AA$38+'TE BF'!$AA$38+'TE CVA'!$AA$38)*1</f>
        <v>225.7947898398177</v>
      </c>
      <c r="AB215" s="6">
        <f>$K$215*$V$215</f>
        <v>0</v>
      </c>
      <c r="AC215" s="6">
        <f>$M$215*$W$215</f>
        <v>-878.10684000000003</v>
      </c>
      <c r="AD215" s="6">
        <f>$O$215*$X$215</f>
        <v>-215.04418000000001</v>
      </c>
      <c r="AE215" s="6">
        <f>$K$215*$Y$215</f>
        <v>0</v>
      </c>
      <c r="AF215" s="6">
        <f ca="1">$M$215*$Z$215</f>
        <v>-1115.5380494029835</v>
      </c>
      <c r="AG215" s="6">
        <f>$O$215*$AA$215</f>
        <v>-240.69724596924567</v>
      </c>
    </row>
    <row r="216" spans="1:33" ht="11.25" customHeight="1" x14ac:dyDescent="0.3">
      <c r="A216" s="4" t="s">
        <v>28</v>
      </c>
      <c r="B216" s="4" t="s">
        <v>33</v>
      </c>
      <c r="C216" s="4" t="s">
        <v>23</v>
      </c>
      <c r="D216" s="4" t="s">
        <v>35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5.8879999999999999</v>
      </c>
      <c r="M216" s="6">
        <v>5.8879999999999999</v>
      </c>
      <c r="N216" s="6">
        <v>5.8879999999999999</v>
      </c>
      <c r="O216" s="6">
        <v>5.8879999999999999</v>
      </c>
      <c r="P216" s="6">
        <v>5</v>
      </c>
      <c r="Q216" s="4" t="s">
        <v>26</v>
      </c>
      <c r="R216" s="4">
        <v>0</v>
      </c>
      <c r="S216" s="6">
        <v>0</v>
      </c>
      <c r="T216" s="6">
        <v>55</v>
      </c>
      <c r="U216" s="6">
        <v>6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823.74</v>
      </c>
      <c r="X216" s="6">
        <f>IF(ISERROR(VLOOKUP($U$216,'TAR FIN'!$A$1:$O$85,15,0)),0,VLOOKUP($U$216,'TAR FIN'!$A$1:$O$85,15,0))</f>
        <v>201.73</v>
      </c>
      <c r="Y216" s="6"/>
      <c r="Z216" s="6">
        <f ca="1">('TUSD BE'!$AM$48+'TUSD BF'!$AM$48+'TUSD CVA'!$AM$48)*1</f>
        <v>1046.4709656688399</v>
      </c>
      <c r="AA216" s="6">
        <f>('TE BE'!$AA$38+'TE BF'!$AA$38+'TE CVA'!$AA$38)*1</f>
        <v>225.7947898398177</v>
      </c>
      <c r="AB216" s="6">
        <f>$K$216*$V$216</f>
        <v>0</v>
      </c>
      <c r="AC216" s="6">
        <f>$M$216*$W$216</f>
        <v>4850.1811200000002</v>
      </c>
      <c r="AD216" s="6">
        <f>$O$216*$X$216</f>
        <v>1187.7862399999999</v>
      </c>
      <c r="AE216" s="6">
        <f>$K$216*$Y$216</f>
        <v>0</v>
      </c>
      <c r="AF216" s="6">
        <f ca="1">$M$216*$Z$216</f>
        <v>6161.621045858129</v>
      </c>
      <c r="AG216" s="6">
        <f>$O$216*$AA$216</f>
        <v>1329.4797225768466</v>
      </c>
    </row>
    <row r="217" spans="1:33" ht="11.25" customHeight="1" x14ac:dyDescent="0.3">
      <c r="A217" s="4" t="s">
        <v>21</v>
      </c>
      <c r="B217" s="4" t="s">
        <v>33</v>
      </c>
      <c r="C217" s="4" t="s">
        <v>23</v>
      </c>
      <c r="D217" s="4" t="s">
        <v>35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44531</v>
      </c>
      <c r="J217" s="6">
        <v>0</v>
      </c>
      <c r="K217" s="6">
        <v>0</v>
      </c>
      <c r="L217" s="6">
        <v>589.98400000000004</v>
      </c>
      <c r="M217" s="6">
        <v>589.98400000000004</v>
      </c>
      <c r="N217" s="6">
        <v>589.98400000000004</v>
      </c>
      <c r="O217" s="6">
        <v>589.98400000000004</v>
      </c>
      <c r="P217" s="6">
        <v>612</v>
      </c>
      <c r="Q217" s="4" t="s">
        <v>26</v>
      </c>
      <c r="R217" s="4">
        <v>0</v>
      </c>
      <c r="S217" s="6">
        <v>0</v>
      </c>
      <c r="T217" s="6">
        <v>55</v>
      </c>
      <c r="U217" s="6">
        <v>6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823.74</v>
      </c>
      <c r="X217" s="6">
        <f>IF(ISERROR(VLOOKUP($U$217,'TAR FIN'!$A$1:$O$85,15,0)),0,VLOOKUP($U$217,'TAR FIN'!$A$1:$O$85,15,0))</f>
        <v>201.73</v>
      </c>
      <c r="Y217" s="6"/>
      <c r="Z217" s="6">
        <f ca="1">('TUSD BE'!$AM$48+'TUSD BF'!$AM$48+'TUSD CVA'!$AM$48)*1</f>
        <v>1046.4709656688399</v>
      </c>
      <c r="AA217" s="6">
        <f>('TE BE'!$AA$38+'TE BF'!$AA$38+'TE CVA'!$AA$38)*1</f>
        <v>225.7947898398177</v>
      </c>
      <c r="AB217" s="6">
        <f>$K$217*$V$217</f>
        <v>0</v>
      </c>
      <c r="AC217" s="6">
        <f>$M$217*$W$217</f>
        <v>485993.42016000004</v>
      </c>
      <c r="AD217" s="6">
        <f>$O$217*$X$217</f>
        <v>119017.47232</v>
      </c>
      <c r="AE217" s="6">
        <f>$K$217*$Y$217</f>
        <v>0</v>
      </c>
      <c r="AF217" s="6">
        <f ca="1">$M$217*$Z$217</f>
        <v>617401.12620916485</v>
      </c>
      <c r="AG217" s="6">
        <f>$O$217*$AA$217</f>
        <v>133215.31328885502</v>
      </c>
    </row>
    <row r="218" spans="1:33" ht="11.25" customHeight="1" x14ac:dyDescent="0.3">
      <c r="A218" s="4" t="s">
        <v>27</v>
      </c>
      <c r="B218" s="4" t="s">
        <v>33</v>
      </c>
      <c r="C218" s="4" t="s">
        <v>23</v>
      </c>
      <c r="D218" s="4" t="s">
        <v>35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-5.0000000000000001E-3</v>
      </c>
      <c r="M218" s="6">
        <v>-5.0000000000000001E-3</v>
      </c>
      <c r="N218" s="6">
        <v>-5.0000000000000001E-3</v>
      </c>
      <c r="O218" s="6">
        <v>-5.0000000000000001E-3</v>
      </c>
      <c r="P218" s="6">
        <v>0</v>
      </c>
      <c r="Q218" s="4" t="s">
        <v>26</v>
      </c>
      <c r="R218" s="4">
        <v>0</v>
      </c>
      <c r="S218" s="6">
        <v>0</v>
      </c>
      <c r="T218" s="6">
        <v>55</v>
      </c>
      <c r="U218" s="6">
        <v>6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823.74</v>
      </c>
      <c r="X218" s="6">
        <f>IF(ISERROR(VLOOKUP($U$218,'TAR FIN'!$A$1:$O$85,15,0)),0,VLOOKUP($U$218,'TAR FIN'!$A$1:$O$85,15,0))</f>
        <v>201.73</v>
      </c>
      <c r="Y218" s="6"/>
      <c r="Z218" s="6">
        <f ca="1">('TUSD BE'!$AM$48+'TUSD BF'!$AM$48+'TUSD CVA'!$AM$48)*1</f>
        <v>1046.4709656688399</v>
      </c>
      <c r="AA218" s="6">
        <f>('TE BE'!$AA$38+'TE BF'!$AA$38+'TE CVA'!$AA$38)*1</f>
        <v>225.7947898398177</v>
      </c>
      <c r="AB218" s="6">
        <f>$K$218*$V$218</f>
        <v>0</v>
      </c>
      <c r="AC218" s="6">
        <f>$M$218*$W$218</f>
        <v>-4.1187000000000005</v>
      </c>
      <c r="AD218" s="6">
        <f>$O$218*$X$218</f>
        <v>-1.00865</v>
      </c>
      <c r="AE218" s="6">
        <f>$K$218*$Y$218</f>
        <v>0</v>
      </c>
      <c r="AF218" s="6">
        <f ca="1">$M$218*$Z$218</f>
        <v>-5.2323548283441994</v>
      </c>
      <c r="AG218" s="6">
        <f>$O$218*$AA$218</f>
        <v>-1.1289739491990884</v>
      </c>
    </row>
    <row r="219" spans="1:33" ht="11.25" customHeight="1" x14ac:dyDescent="0.3">
      <c r="A219" s="4" t="s">
        <v>28</v>
      </c>
      <c r="B219" s="4" t="s">
        <v>33</v>
      </c>
      <c r="C219" s="4" t="s">
        <v>23</v>
      </c>
      <c r="D219" s="4" t="s">
        <v>35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44531</v>
      </c>
      <c r="J219" s="6">
        <v>0</v>
      </c>
      <c r="K219" s="6">
        <v>0</v>
      </c>
      <c r="L219" s="6">
        <v>10.044</v>
      </c>
      <c r="M219" s="6">
        <v>10.044</v>
      </c>
      <c r="N219" s="6">
        <v>10.044</v>
      </c>
      <c r="O219" s="6">
        <v>10.044</v>
      </c>
      <c r="P219" s="6">
        <v>7</v>
      </c>
      <c r="Q219" s="4" t="s">
        <v>26</v>
      </c>
      <c r="R219" s="4">
        <v>0</v>
      </c>
      <c r="S219" s="6">
        <v>0</v>
      </c>
      <c r="T219" s="6">
        <v>55</v>
      </c>
      <c r="U219" s="6">
        <v>6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823.74</v>
      </c>
      <c r="X219" s="6">
        <f>IF(ISERROR(VLOOKUP($U$219,'TAR FIN'!$A$1:$O$85,15,0)),0,VLOOKUP($U$219,'TAR FIN'!$A$1:$O$85,15,0))</f>
        <v>201.73</v>
      </c>
      <c r="Y219" s="6"/>
      <c r="Z219" s="6">
        <f ca="1">('TUSD BE'!$AM$48+'TUSD BF'!$AM$48+'TUSD CVA'!$AM$48)*1</f>
        <v>1046.4709656688399</v>
      </c>
      <c r="AA219" s="6">
        <f>('TE BE'!$AA$38+'TE BF'!$AA$38+'TE CVA'!$AA$38)*1</f>
        <v>225.7947898398177</v>
      </c>
      <c r="AB219" s="6">
        <f>$K$219*$V$219</f>
        <v>0</v>
      </c>
      <c r="AC219" s="6">
        <f>$M$219*$W$219</f>
        <v>8273.6445600000006</v>
      </c>
      <c r="AD219" s="6">
        <f>$O$219*$X$219</f>
        <v>2026.1761200000001</v>
      </c>
      <c r="AE219" s="6">
        <f>$K$219*$Y$219</f>
        <v>0</v>
      </c>
      <c r="AF219" s="6">
        <f ca="1">$M$219*$Z$219</f>
        <v>10510.754379177828</v>
      </c>
      <c r="AG219" s="6">
        <f>$O$219*$AA$219</f>
        <v>2267.8828691511289</v>
      </c>
    </row>
    <row r="220" spans="1:33" ht="11.25" customHeight="1" x14ac:dyDescent="0.3">
      <c r="A220" s="4" t="s">
        <v>21</v>
      </c>
      <c r="B220" s="4" t="s">
        <v>33</v>
      </c>
      <c r="C220" s="4" t="s">
        <v>23</v>
      </c>
      <c r="D220" s="4" t="s">
        <v>35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44562</v>
      </c>
      <c r="J220" s="6">
        <v>0</v>
      </c>
      <c r="K220" s="6">
        <v>0</v>
      </c>
      <c r="L220" s="6">
        <v>597.91099999999994</v>
      </c>
      <c r="M220" s="6">
        <v>597.91099999999994</v>
      </c>
      <c r="N220" s="6">
        <v>597.91099999999994</v>
      </c>
      <c r="O220" s="6">
        <v>597.91099999999994</v>
      </c>
      <c r="P220" s="6">
        <v>608</v>
      </c>
      <c r="Q220" s="4" t="s">
        <v>26</v>
      </c>
      <c r="R220" s="4">
        <v>0</v>
      </c>
      <c r="S220" s="6">
        <v>0</v>
      </c>
      <c r="T220" s="6">
        <v>55</v>
      </c>
      <c r="U220" s="6">
        <v>6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823.74</v>
      </c>
      <c r="X220" s="6">
        <f>IF(ISERROR(VLOOKUP($U$220,'TAR FIN'!$A$1:$O$85,15,0)),0,VLOOKUP($U$220,'TAR FIN'!$A$1:$O$85,15,0))</f>
        <v>201.73</v>
      </c>
      <c r="Y220" s="6"/>
      <c r="Z220" s="6">
        <f ca="1">('TUSD BE'!$AM$48+'TUSD BF'!$AM$48+'TUSD CVA'!$AM$48)*1</f>
        <v>1046.4709656688399</v>
      </c>
      <c r="AA220" s="6">
        <f>('TE BE'!$AA$38+'TE BF'!$AA$38+'TE CVA'!$AA$38)*1</f>
        <v>225.7947898398177</v>
      </c>
      <c r="AB220" s="6">
        <f>$K$220*$V$220</f>
        <v>0</v>
      </c>
      <c r="AC220" s="6">
        <f>$M$220*$W$220</f>
        <v>492523.20713999995</v>
      </c>
      <c r="AD220" s="6">
        <f>$O$220*$X$220</f>
        <v>120616.58602999998</v>
      </c>
      <c r="AE220" s="6">
        <f>$K$220*$Y$220</f>
        <v>0</v>
      </c>
      <c r="AF220" s="6">
        <f ca="1">$M$220*$Z$220</f>
        <v>625696.50155402161</v>
      </c>
      <c r="AG220" s="6">
        <f>$O$220*$AA$220</f>
        <v>135005.18858791524</v>
      </c>
    </row>
    <row r="221" spans="1:33" ht="11.25" customHeight="1" x14ac:dyDescent="0.3">
      <c r="A221" s="4" t="s">
        <v>27</v>
      </c>
      <c r="B221" s="4" t="s">
        <v>33</v>
      </c>
      <c r="C221" s="4" t="s">
        <v>23</v>
      </c>
      <c r="D221" s="4" t="s">
        <v>35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-5.976</v>
      </c>
      <c r="M221" s="6">
        <v>-5.976</v>
      </c>
      <c r="N221" s="6">
        <v>-5.976</v>
      </c>
      <c r="O221" s="6">
        <v>-5.976</v>
      </c>
      <c r="P221" s="6">
        <v>0</v>
      </c>
      <c r="Q221" s="4" t="s">
        <v>26</v>
      </c>
      <c r="R221" s="4">
        <v>0</v>
      </c>
      <c r="S221" s="6">
        <v>0</v>
      </c>
      <c r="T221" s="6">
        <v>55</v>
      </c>
      <c r="U221" s="6">
        <v>6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823.74</v>
      </c>
      <c r="X221" s="6">
        <f>IF(ISERROR(VLOOKUP($U$221,'TAR FIN'!$A$1:$O$85,15,0)),0,VLOOKUP($U$221,'TAR FIN'!$A$1:$O$85,15,0))</f>
        <v>201.73</v>
      </c>
      <c r="Y221" s="6"/>
      <c r="Z221" s="6">
        <f ca="1">('TUSD BE'!$AM$48+'TUSD BF'!$AM$48+'TUSD CVA'!$AM$48)*1</f>
        <v>1046.4709656688399</v>
      </c>
      <c r="AA221" s="6">
        <f>('TE BE'!$AA$38+'TE BF'!$AA$38+'TE CVA'!$AA$38)*1</f>
        <v>225.7947898398177</v>
      </c>
      <c r="AB221" s="6">
        <f>$K$221*$V$221</f>
        <v>0</v>
      </c>
      <c r="AC221" s="6">
        <f>$M$221*$W$221</f>
        <v>-4922.6702400000004</v>
      </c>
      <c r="AD221" s="6">
        <f>$O$221*$X$221</f>
        <v>-1205.5384799999999</v>
      </c>
      <c r="AE221" s="6">
        <f>$K$221*$Y$221</f>
        <v>0</v>
      </c>
      <c r="AF221" s="6">
        <f ca="1">$M$221*$Z$221</f>
        <v>-6253.7104908369874</v>
      </c>
      <c r="AG221" s="6">
        <f>$O$221*$AA$221</f>
        <v>-1349.3496640827505</v>
      </c>
    </row>
    <row r="222" spans="1:33" ht="11.25" customHeight="1" x14ac:dyDescent="0.3">
      <c r="A222" s="4" t="s">
        <v>28</v>
      </c>
      <c r="B222" s="4" t="s">
        <v>33</v>
      </c>
      <c r="C222" s="4" t="s">
        <v>23</v>
      </c>
      <c r="D222" s="4" t="s">
        <v>35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0</v>
      </c>
      <c r="K222" s="6">
        <v>0</v>
      </c>
      <c r="L222" s="6">
        <v>16.041</v>
      </c>
      <c r="M222" s="6">
        <v>16.041</v>
      </c>
      <c r="N222" s="6">
        <v>16.041</v>
      </c>
      <c r="O222" s="6">
        <v>16.041</v>
      </c>
      <c r="P222" s="6">
        <v>10</v>
      </c>
      <c r="Q222" s="4" t="s">
        <v>26</v>
      </c>
      <c r="R222" s="4">
        <v>0</v>
      </c>
      <c r="S222" s="6">
        <v>0</v>
      </c>
      <c r="T222" s="6">
        <v>55</v>
      </c>
      <c r="U222" s="6">
        <v>6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823.74</v>
      </c>
      <c r="X222" s="6">
        <f>IF(ISERROR(VLOOKUP($U$222,'TAR FIN'!$A$1:$O$85,15,0)),0,VLOOKUP($U$222,'TAR FIN'!$A$1:$O$85,15,0))</f>
        <v>201.73</v>
      </c>
      <c r="Y222" s="6"/>
      <c r="Z222" s="6">
        <f ca="1">('TUSD BE'!$AM$48+'TUSD BF'!$AM$48+'TUSD CVA'!$AM$48)*1</f>
        <v>1046.4709656688399</v>
      </c>
      <c r="AA222" s="6">
        <f>('TE BE'!$AA$38+'TE BF'!$AA$38+'TE CVA'!$AA$38)*1</f>
        <v>225.7947898398177</v>
      </c>
      <c r="AB222" s="6">
        <f>$K$222*$V$222</f>
        <v>0</v>
      </c>
      <c r="AC222" s="6">
        <f>$M$222*$W$222</f>
        <v>13213.61334</v>
      </c>
      <c r="AD222" s="6">
        <f>$O$222*$X$222</f>
        <v>3235.95093</v>
      </c>
      <c r="AE222" s="6">
        <f>$K$222*$Y$222</f>
        <v>0</v>
      </c>
      <c r="AF222" s="6">
        <f ca="1">$M$222*$Z$222</f>
        <v>16786.440760293863</v>
      </c>
      <c r="AG222" s="6">
        <f>$O$222*$AA$222</f>
        <v>3621.9742238205158</v>
      </c>
    </row>
    <row r="223" spans="1:33" ht="11.25" customHeight="1" x14ac:dyDescent="0.3">
      <c r="A223" s="4" t="s">
        <v>21</v>
      </c>
      <c r="B223" s="4" t="s">
        <v>33</v>
      </c>
      <c r="C223" s="4" t="s">
        <v>23</v>
      </c>
      <c r="D223" s="4" t="s">
        <v>35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44593</v>
      </c>
      <c r="J223" s="6">
        <v>0</v>
      </c>
      <c r="K223" s="6">
        <v>0</v>
      </c>
      <c r="L223" s="6">
        <v>542.80700000000002</v>
      </c>
      <c r="M223" s="6">
        <v>542.80700000000002</v>
      </c>
      <c r="N223" s="6">
        <v>542.80700000000002</v>
      </c>
      <c r="O223" s="6">
        <v>542.80700000000002</v>
      </c>
      <c r="P223" s="6">
        <v>607</v>
      </c>
      <c r="Q223" s="4" t="s">
        <v>26</v>
      </c>
      <c r="R223" s="4">
        <v>0</v>
      </c>
      <c r="S223" s="6">
        <v>0</v>
      </c>
      <c r="T223" s="6">
        <v>55</v>
      </c>
      <c r="U223" s="6">
        <v>6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823.74</v>
      </c>
      <c r="X223" s="6">
        <f>IF(ISERROR(VLOOKUP($U$223,'TAR FIN'!$A$1:$O$85,15,0)),0,VLOOKUP($U$223,'TAR FIN'!$A$1:$O$85,15,0))</f>
        <v>201.73</v>
      </c>
      <c r="Y223" s="6"/>
      <c r="Z223" s="6">
        <f ca="1">('TUSD BE'!$AM$48+'TUSD BF'!$AM$48+'TUSD CVA'!$AM$48)*1</f>
        <v>1046.4709656688399</v>
      </c>
      <c r="AA223" s="6">
        <f>('TE BE'!$AA$38+'TE BF'!$AA$38+'TE CVA'!$AA$38)*1</f>
        <v>225.7947898398177</v>
      </c>
      <c r="AB223" s="6">
        <f>$K$223*$V$223</f>
        <v>0</v>
      </c>
      <c r="AC223" s="6">
        <f>$M$223*$W$223</f>
        <v>447131.83818000002</v>
      </c>
      <c r="AD223" s="6">
        <f>$O$223*$X$223</f>
        <v>109500.45611</v>
      </c>
      <c r="AE223" s="6">
        <f>$K$223*$Y$223</f>
        <v>0</v>
      </c>
      <c r="AF223" s="6">
        <f ca="1">$M$223*$Z$223</f>
        <v>568031.76546180598</v>
      </c>
      <c r="AG223" s="6">
        <f>$O$223*$AA$223</f>
        <v>122562.99248858193</v>
      </c>
    </row>
    <row r="224" spans="1:33" ht="11.25" customHeight="1" x14ac:dyDescent="0.3">
      <c r="A224" s="4" t="s">
        <v>28</v>
      </c>
      <c r="B224" s="4" t="s">
        <v>33</v>
      </c>
      <c r="C224" s="4" t="s">
        <v>23</v>
      </c>
      <c r="D224" s="4" t="s">
        <v>35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44593</v>
      </c>
      <c r="J224" s="6">
        <v>0</v>
      </c>
      <c r="K224" s="6">
        <v>0</v>
      </c>
      <c r="L224" s="6">
        <v>14.662000000000001</v>
      </c>
      <c r="M224" s="6">
        <v>14.662000000000001</v>
      </c>
      <c r="N224" s="6">
        <v>14.662000000000001</v>
      </c>
      <c r="O224" s="6">
        <v>14.662000000000001</v>
      </c>
      <c r="P224" s="6">
        <v>11</v>
      </c>
      <c r="Q224" s="4" t="s">
        <v>26</v>
      </c>
      <c r="R224" s="4">
        <v>0</v>
      </c>
      <c r="S224" s="6">
        <v>0</v>
      </c>
      <c r="T224" s="6">
        <v>55</v>
      </c>
      <c r="U224" s="6">
        <v>6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823.74</v>
      </c>
      <c r="X224" s="6">
        <f>IF(ISERROR(VLOOKUP($U$224,'TAR FIN'!$A$1:$O$85,15,0)),0,VLOOKUP($U$224,'TAR FIN'!$A$1:$O$85,15,0))</f>
        <v>201.73</v>
      </c>
      <c r="Y224" s="6"/>
      <c r="Z224" s="6">
        <f ca="1">('TUSD BE'!$AM$48+'TUSD BF'!$AM$48+'TUSD CVA'!$AM$48)*1</f>
        <v>1046.4709656688399</v>
      </c>
      <c r="AA224" s="6">
        <f>('TE BE'!$AA$38+'TE BF'!$AA$38+'TE CVA'!$AA$38)*1</f>
        <v>225.7947898398177</v>
      </c>
      <c r="AB224" s="6">
        <f>$K$224*$V$224</f>
        <v>0</v>
      </c>
      <c r="AC224" s="6">
        <f>$M$224*$W$224</f>
        <v>12077.675880000001</v>
      </c>
      <c r="AD224" s="6">
        <f>$O$224*$X$224</f>
        <v>2957.7652600000001</v>
      </c>
      <c r="AE224" s="6">
        <f>$K$224*$Y$224</f>
        <v>0</v>
      </c>
      <c r="AF224" s="6">
        <f ca="1">$M$224*$Z$224</f>
        <v>15343.357298636531</v>
      </c>
      <c r="AG224" s="6">
        <f>$O$224*$AA$224</f>
        <v>3310.6032086314071</v>
      </c>
    </row>
    <row r="225" spans="1:33" ht="11.25" customHeight="1" x14ac:dyDescent="0.3">
      <c r="A225" s="4" t="s">
        <v>21</v>
      </c>
      <c r="B225" s="4" t="s">
        <v>33</v>
      </c>
      <c r="C225" s="4" t="s">
        <v>23</v>
      </c>
      <c r="D225" s="4" t="s">
        <v>35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44621</v>
      </c>
      <c r="J225" s="6">
        <v>0</v>
      </c>
      <c r="K225" s="6">
        <v>0</v>
      </c>
      <c r="L225" s="6">
        <v>554.46699999999998</v>
      </c>
      <c r="M225" s="6">
        <v>554.46699999999998</v>
      </c>
      <c r="N225" s="6">
        <v>554.46699999999998</v>
      </c>
      <c r="O225" s="6">
        <v>554.46699999999998</v>
      </c>
      <c r="P225" s="6">
        <v>602</v>
      </c>
      <c r="Q225" s="4" t="s">
        <v>26</v>
      </c>
      <c r="R225" s="4">
        <v>0</v>
      </c>
      <c r="S225" s="6">
        <v>0</v>
      </c>
      <c r="T225" s="6">
        <v>55</v>
      </c>
      <c r="U225" s="6">
        <v>6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823.74</v>
      </c>
      <c r="X225" s="6">
        <f>IF(ISERROR(VLOOKUP($U$225,'TAR FIN'!$A$1:$O$85,15,0)),0,VLOOKUP($U$225,'TAR FIN'!$A$1:$O$85,15,0))</f>
        <v>201.73</v>
      </c>
      <c r="Y225" s="6"/>
      <c r="Z225" s="6">
        <f ca="1">('TUSD BE'!$AM$48+'TUSD BF'!$AM$48+'TUSD CVA'!$AM$48)*1</f>
        <v>1046.4709656688399</v>
      </c>
      <c r="AA225" s="6">
        <f>('TE BE'!$AA$38+'TE BF'!$AA$38+'TE CVA'!$AA$38)*1</f>
        <v>225.7947898398177</v>
      </c>
      <c r="AB225" s="6">
        <f>$K$225*$V$225</f>
        <v>0</v>
      </c>
      <c r="AC225" s="6">
        <f>$M$225*$W$225</f>
        <v>456736.64658</v>
      </c>
      <c r="AD225" s="6">
        <f>$O$225*$X$225</f>
        <v>111852.62791</v>
      </c>
      <c r="AE225" s="6">
        <f>$K$225*$Y$225</f>
        <v>0</v>
      </c>
      <c r="AF225" s="6">
        <f ca="1">$M$225*$Z$225</f>
        <v>580233.61692150461</v>
      </c>
      <c r="AG225" s="6">
        <f>$O$225*$AA$225</f>
        <v>125195.7597381142</v>
      </c>
    </row>
    <row r="226" spans="1:33" ht="11.25" customHeight="1" x14ac:dyDescent="0.3">
      <c r="A226" s="4" t="s">
        <v>28</v>
      </c>
      <c r="B226" s="4" t="s">
        <v>33</v>
      </c>
      <c r="C226" s="4" t="s">
        <v>23</v>
      </c>
      <c r="D226" s="4" t="s">
        <v>35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44621</v>
      </c>
      <c r="J226" s="6">
        <v>0</v>
      </c>
      <c r="K226" s="6">
        <v>0</v>
      </c>
      <c r="L226" s="6">
        <v>30.631</v>
      </c>
      <c r="M226" s="6">
        <v>30.631</v>
      </c>
      <c r="N226" s="6">
        <v>30.631</v>
      </c>
      <c r="O226" s="6">
        <v>30.631</v>
      </c>
      <c r="P226" s="6">
        <v>16</v>
      </c>
      <c r="Q226" s="4" t="s">
        <v>26</v>
      </c>
      <c r="R226" s="4">
        <v>0</v>
      </c>
      <c r="S226" s="6">
        <v>0</v>
      </c>
      <c r="T226" s="6">
        <v>55</v>
      </c>
      <c r="U226" s="6">
        <v>6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823.74</v>
      </c>
      <c r="X226" s="6">
        <f>IF(ISERROR(VLOOKUP($U$226,'TAR FIN'!$A$1:$O$85,15,0)),0,VLOOKUP($U$226,'TAR FIN'!$A$1:$O$85,15,0))</f>
        <v>201.73</v>
      </c>
      <c r="Y226" s="6"/>
      <c r="Z226" s="6">
        <f ca="1">('TUSD BE'!$AM$48+'TUSD BF'!$AM$48+'TUSD CVA'!$AM$48)*1</f>
        <v>1046.4709656688399</v>
      </c>
      <c r="AA226" s="6">
        <f>('TE BE'!$AA$38+'TE BF'!$AA$38+'TE CVA'!$AA$38)*1</f>
        <v>225.7947898398177</v>
      </c>
      <c r="AB226" s="6">
        <f>$K$226*$V$226</f>
        <v>0</v>
      </c>
      <c r="AC226" s="6">
        <f>$M$226*$W$226</f>
        <v>25231.979940000001</v>
      </c>
      <c r="AD226" s="6">
        <f>$O$226*$X$226</f>
        <v>6179.1916299999993</v>
      </c>
      <c r="AE226" s="6">
        <f>$K$226*$Y$226</f>
        <v>0</v>
      </c>
      <c r="AF226" s="6">
        <f ca="1">$M$226*$Z$226</f>
        <v>32054.452149402234</v>
      </c>
      <c r="AG226" s="6">
        <f>$O$226*$AA$226</f>
        <v>6916.3202075834561</v>
      </c>
    </row>
    <row r="227" spans="1:33" ht="11.25" customHeight="1" x14ac:dyDescent="0.3">
      <c r="A227" s="4" t="s">
        <v>21</v>
      </c>
      <c r="B227" s="4" t="s">
        <v>33</v>
      </c>
      <c r="C227" s="4" t="s">
        <v>23</v>
      </c>
      <c r="D227" s="4" t="s">
        <v>48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44287</v>
      </c>
      <c r="J227" s="6">
        <v>0</v>
      </c>
      <c r="K227" s="6">
        <v>0</v>
      </c>
      <c r="L227" s="6">
        <v>2.3029999999999999</v>
      </c>
      <c r="M227" s="6">
        <v>2.3029999999999999</v>
      </c>
      <c r="N227" s="6">
        <v>2.3029999999999999</v>
      </c>
      <c r="O227" s="6">
        <v>2.3029999999999999</v>
      </c>
      <c r="P227" s="6">
        <v>1</v>
      </c>
      <c r="Q227" s="4" t="s">
        <v>26</v>
      </c>
      <c r="R227" s="4">
        <v>0</v>
      </c>
      <c r="S227" s="6">
        <v>0</v>
      </c>
      <c r="T227" s="6">
        <v>55</v>
      </c>
      <c r="U227" s="6">
        <v>6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823.74</v>
      </c>
      <c r="X227" s="6">
        <f>IF(ISERROR(VLOOKUP($U$227,'TAR FIN'!$A$1:$O$85,15,0)),0,VLOOKUP($U$227,'TAR FIN'!$A$1:$O$85,15,0))</f>
        <v>201.73</v>
      </c>
      <c r="Y227" s="6"/>
      <c r="Z227" s="6">
        <f ca="1">('TUSD BE'!$AM$48+'TUSD BF'!$AM$48+'TUSD CVA'!$AM$48)*1</f>
        <v>1046.4709656688399</v>
      </c>
      <c r="AA227" s="6">
        <f>('TE BE'!$AA$38+'TE BF'!$AA$38+'TE CVA'!$AA$38)*1</f>
        <v>225.7947898398177</v>
      </c>
      <c r="AB227" s="6">
        <f>$K$227*$V$227</f>
        <v>0</v>
      </c>
      <c r="AC227" s="6">
        <f>$M$227*$W$227</f>
        <v>1897.07322</v>
      </c>
      <c r="AD227" s="6">
        <f>$O$227*$X$227</f>
        <v>464.58418999999998</v>
      </c>
      <c r="AE227" s="6">
        <f>$K$227*$Y$227</f>
        <v>0</v>
      </c>
      <c r="AF227" s="6">
        <f ca="1">$M$227*$Z$227</f>
        <v>2410.022633935338</v>
      </c>
      <c r="AG227" s="6">
        <f>$O$227*$AA$227</f>
        <v>520.00540100110015</v>
      </c>
    </row>
    <row r="228" spans="1:33" ht="11.25" customHeight="1" x14ac:dyDescent="0.3">
      <c r="A228" s="4" t="s">
        <v>21</v>
      </c>
      <c r="B228" s="4" t="s">
        <v>33</v>
      </c>
      <c r="C228" s="4" t="s">
        <v>23</v>
      </c>
      <c r="D228" s="4" t="s">
        <v>48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44317</v>
      </c>
      <c r="J228" s="6">
        <v>0</v>
      </c>
      <c r="K228" s="6">
        <v>0</v>
      </c>
      <c r="L228" s="6">
        <v>1.4079999999999999</v>
      </c>
      <c r="M228" s="6">
        <v>1.4079999999999999</v>
      </c>
      <c r="N228" s="6">
        <v>1.4079999999999999</v>
      </c>
      <c r="O228" s="6">
        <v>1.4079999999999999</v>
      </c>
      <c r="P228" s="6">
        <v>1</v>
      </c>
      <c r="Q228" s="4" t="s">
        <v>26</v>
      </c>
      <c r="R228" s="4">
        <v>0</v>
      </c>
      <c r="S228" s="6">
        <v>0</v>
      </c>
      <c r="T228" s="6">
        <v>55</v>
      </c>
      <c r="U228" s="6">
        <v>6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823.74</v>
      </c>
      <c r="X228" s="6">
        <f>IF(ISERROR(VLOOKUP($U$228,'TAR FIN'!$A$1:$O$85,15,0)),0,VLOOKUP($U$228,'TAR FIN'!$A$1:$O$85,15,0))</f>
        <v>201.73</v>
      </c>
      <c r="Y228" s="6"/>
      <c r="Z228" s="6">
        <f ca="1">('TUSD BE'!$AM$48+'TUSD BF'!$AM$48+'TUSD CVA'!$AM$48)*1</f>
        <v>1046.4709656688399</v>
      </c>
      <c r="AA228" s="6">
        <f>('TE BE'!$AA$38+'TE BF'!$AA$38+'TE CVA'!$AA$38)*1</f>
        <v>225.7947898398177</v>
      </c>
      <c r="AB228" s="6">
        <f>$K$228*$V$228</f>
        <v>0</v>
      </c>
      <c r="AC228" s="6">
        <f>$M$228*$W$228</f>
        <v>1159.82592</v>
      </c>
      <c r="AD228" s="6">
        <f>$O$228*$X$228</f>
        <v>284.03583999999995</v>
      </c>
      <c r="AE228" s="6">
        <f>$K$228*$Y$228</f>
        <v>0</v>
      </c>
      <c r="AF228" s="6">
        <f ca="1">$M$228*$Z$228</f>
        <v>1473.4311196617264</v>
      </c>
      <c r="AG228" s="6">
        <f>$O$228*$AA$228</f>
        <v>317.91906409446329</v>
      </c>
    </row>
    <row r="229" spans="1:33" ht="11.25" customHeight="1" x14ac:dyDescent="0.3">
      <c r="A229" s="4" t="s">
        <v>21</v>
      </c>
      <c r="B229" s="4" t="s">
        <v>33</v>
      </c>
      <c r="C229" s="4" t="s">
        <v>23</v>
      </c>
      <c r="D229" s="4" t="s">
        <v>48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44348</v>
      </c>
      <c r="J229" s="6">
        <v>0</v>
      </c>
      <c r="K229" s="6">
        <v>0</v>
      </c>
      <c r="L229" s="6">
        <v>1.1579999999999999</v>
      </c>
      <c r="M229" s="6">
        <v>1.1579999999999999</v>
      </c>
      <c r="N229" s="6">
        <v>1.1579999999999999</v>
      </c>
      <c r="O229" s="6">
        <v>1.1579999999999999</v>
      </c>
      <c r="P229" s="6">
        <v>1</v>
      </c>
      <c r="Q229" s="4" t="s">
        <v>26</v>
      </c>
      <c r="R229" s="4">
        <v>0</v>
      </c>
      <c r="S229" s="6">
        <v>0</v>
      </c>
      <c r="T229" s="6">
        <v>55</v>
      </c>
      <c r="U229" s="6">
        <v>6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823.74</v>
      </c>
      <c r="X229" s="6">
        <f>IF(ISERROR(VLOOKUP($U$229,'TAR FIN'!$A$1:$O$85,15,0)),0,VLOOKUP($U$229,'TAR FIN'!$A$1:$O$85,15,0))</f>
        <v>201.73</v>
      </c>
      <c r="Y229" s="6"/>
      <c r="Z229" s="6">
        <f ca="1">('TUSD BE'!$AM$48+'TUSD BF'!$AM$48+'TUSD CVA'!$AM$48)*1</f>
        <v>1046.4709656688399</v>
      </c>
      <c r="AA229" s="6">
        <f>('TE BE'!$AA$38+'TE BF'!$AA$38+'TE CVA'!$AA$38)*1</f>
        <v>225.7947898398177</v>
      </c>
      <c r="AB229" s="6">
        <f>$K$229*$V$229</f>
        <v>0</v>
      </c>
      <c r="AC229" s="6">
        <f>$M$229*$W$229</f>
        <v>953.89091999999994</v>
      </c>
      <c r="AD229" s="6">
        <f>$O$229*$X$229</f>
        <v>233.60333999999997</v>
      </c>
      <c r="AE229" s="6">
        <f>$K$229*$Y$229</f>
        <v>0</v>
      </c>
      <c r="AF229" s="6">
        <f ca="1">$M$229*$Z$229</f>
        <v>1211.8133782445166</v>
      </c>
      <c r="AG229" s="6">
        <f>$O$229*$AA$229</f>
        <v>261.47036663450888</v>
      </c>
    </row>
    <row r="230" spans="1:33" ht="11.25" customHeight="1" x14ac:dyDescent="0.3">
      <c r="A230" s="4" t="s">
        <v>21</v>
      </c>
      <c r="B230" s="4" t="s">
        <v>33</v>
      </c>
      <c r="C230" s="4" t="s">
        <v>23</v>
      </c>
      <c r="D230" s="4" t="s">
        <v>48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44378</v>
      </c>
      <c r="J230" s="6">
        <v>0</v>
      </c>
      <c r="K230" s="6">
        <v>0</v>
      </c>
      <c r="L230" s="6">
        <v>1.0029999999999999</v>
      </c>
      <c r="M230" s="6">
        <v>1.0029999999999999</v>
      </c>
      <c r="N230" s="6">
        <v>1.0029999999999999</v>
      </c>
      <c r="O230" s="6">
        <v>1.0029999999999999</v>
      </c>
      <c r="P230" s="6">
        <v>1</v>
      </c>
      <c r="Q230" s="4" t="s">
        <v>26</v>
      </c>
      <c r="R230" s="4">
        <v>0</v>
      </c>
      <c r="S230" s="6">
        <v>0</v>
      </c>
      <c r="T230" s="6">
        <v>55</v>
      </c>
      <c r="U230" s="6">
        <v>6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823.74</v>
      </c>
      <c r="X230" s="6">
        <f>IF(ISERROR(VLOOKUP($U$230,'TAR FIN'!$A$1:$O$85,15,0)),0,VLOOKUP($U$230,'TAR FIN'!$A$1:$O$85,15,0))</f>
        <v>201.73</v>
      </c>
      <c r="Y230" s="6"/>
      <c r="Z230" s="6">
        <f ca="1">('TUSD BE'!$AM$48+'TUSD BF'!$AM$48+'TUSD CVA'!$AM$48)*1</f>
        <v>1046.4709656688399</v>
      </c>
      <c r="AA230" s="6">
        <f>('TE BE'!$AA$38+'TE BF'!$AA$38+'TE CVA'!$AA$38)*1</f>
        <v>225.7947898398177</v>
      </c>
      <c r="AB230" s="6">
        <f>$K$230*$V$230</f>
        <v>0</v>
      </c>
      <c r="AC230" s="6">
        <f>$M$230*$W$230</f>
        <v>826.21121999999991</v>
      </c>
      <c r="AD230" s="6">
        <f>$O$230*$X$230</f>
        <v>202.33518999999995</v>
      </c>
      <c r="AE230" s="6">
        <f>$K$230*$Y$230</f>
        <v>0</v>
      </c>
      <c r="AF230" s="6">
        <f ca="1">$M$230*$Z$230</f>
        <v>1049.6103785658463</v>
      </c>
      <c r="AG230" s="6">
        <f>$O$230*$AA$230</f>
        <v>226.47217420933711</v>
      </c>
    </row>
    <row r="231" spans="1:33" ht="11.25" customHeight="1" x14ac:dyDescent="0.3">
      <c r="A231" s="4" t="s">
        <v>21</v>
      </c>
      <c r="B231" s="4" t="s">
        <v>33</v>
      </c>
      <c r="C231" s="4" t="s">
        <v>23</v>
      </c>
      <c r="D231" s="4" t="s">
        <v>48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44409</v>
      </c>
      <c r="J231" s="6">
        <v>0</v>
      </c>
      <c r="K231" s="6">
        <v>0</v>
      </c>
      <c r="L231" s="6">
        <v>1.109</v>
      </c>
      <c r="M231" s="6">
        <v>1.109</v>
      </c>
      <c r="N231" s="6">
        <v>1.109</v>
      </c>
      <c r="O231" s="6">
        <v>1.109</v>
      </c>
      <c r="P231" s="6">
        <v>1</v>
      </c>
      <c r="Q231" s="4" t="s">
        <v>26</v>
      </c>
      <c r="R231" s="4">
        <v>0</v>
      </c>
      <c r="S231" s="6">
        <v>0</v>
      </c>
      <c r="T231" s="6">
        <v>55</v>
      </c>
      <c r="U231" s="6">
        <v>6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823.74</v>
      </c>
      <c r="X231" s="6">
        <f>IF(ISERROR(VLOOKUP($U$231,'TAR FIN'!$A$1:$O$85,15,0)),0,VLOOKUP($U$231,'TAR FIN'!$A$1:$O$85,15,0))</f>
        <v>201.73</v>
      </c>
      <c r="Y231" s="6"/>
      <c r="Z231" s="6">
        <f ca="1">('TUSD BE'!$AM$48+'TUSD BF'!$AM$48+'TUSD CVA'!$AM$48)*1</f>
        <v>1046.4709656688399</v>
      </c>
      <c r="AA231" s="6">
        <f>('TE BE'!$AA$38+'TE BF'!$AA$38+'TE CVA'!$AA$38)*1</f>
        <v>225.7947898398177</v>
      </c>
      <c r="AB231" s="6">
        <f>$K$231*$V$231</f>
        <v>0</v>
      </c>
      <c r="AC231" s="6">
        <f>$M$231*$W$231</f>
        <v>913.52765999999997</v>
      </c>
      <c r="AD231" s="6">
        <f>$O$231*$X$231</f>
        <v>223.71857</v>
      </c>
      <c r="AE231" s="6">
        <f>$K$231*$Y$231</f>
        <v>0</v>
      </c>
      <c r="AF231" s="6">
        <f ca="1">$M$231*$Z$231</f>
        <v>1160.5363009267435</v>
      </c>
      <c r="AG231" s="6">
        <f>$O$231*$AA$231</f>
        <v>250.40642193235783</v>
      </c>
    </row>
    <row r="232" spans="1:33" ht="11.25" customHeight="1" x14ac:dyDescent="0.3">
      <c r="A232" s="4" t="s">
        <v>21</v>
      </c>
      <c r="B232" s="4" t="s">
        <v>33</v>
      </c>
      <c r="C232" s="4" t="s">
        <v>23</v>
      </c>
      <c r="D232" s="4" t="s">
        <v>48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44440</v>
      </c>
      <c r="J232" s="6">
        <v>0</v>
      </c>
      <c r="K232" s="6">
        <v>0</v>
      </c>
      <c r="L232" s="6">
        <v>2.149</v>
      </c>
      <c r="M232" s="6">
        <v>2.149</v>
      </c>
      <c r="N232" s="6">
        <v>2.149</v>
      </c>
      <c r="O232" s="6">
        <v>2.149</v>
      </c>
      <c r="P232" s="6">
        <v>1</v>
      </c>
      <c r="Q232" s="4" t="s">
        <v>26</v>
      </c>
      <c r="R232" s="4">
        <v>0</v>
      </c>
      <c r="S232" s="6">
        <v>0</v>
      </c>
      <c r="T232" s="6">
        <v>55</v>
      </c>
      <c r="U232" s="6">
        <v>6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823.74</v>
      </c>
      <c r="X232" s="6">
        <f>IF(ISERROR(VLOOKUP($U$232,'TAR FIN'!$A$1:$O$85,15,0)),0,VLOOKUP($U$232,'TAR FIN'!$A$1:$O$85,15,0))</f>
        <v>201.73</v>
      </c>
      <c r="Y232" s="6"/>
      <c r="Z232" s="6">
        <f ca="1">('TUSD BE'!$AM$48+'TUSD BF'!$AM$48+'TUSD CVA'!$AM$48)*1</f>
        <v>1046.4709656688399</v>
      </c>
      <c r="AA232" s="6">
        <f>('TE BE'!$AA$38+'TE BF'!$AA$38+'TE CVA'!$AA$38)*1</f>
        <v>225.7947898398177</v>
      </c>
      <c r="AB232" s="6">
        <f>$K$232*$V$232</f>
        <v>0</v>
      </c>
      <c r="AC232" s="6">
        <f>$M$232*$W$232</f>
        <v>1770.2172600000001</v>
      </c>
      <c r="AD232" s="6">
        <f>$O$232*$X$232</f>
        <v>433.51776999999998</v>
      </c>
      <c r="AE232" s="6">
        <f>$K$232*$Y$232</f>
        <v>0</v>
      </c>
      <c r="AF232" s="6">
        <f ca="1">$M$232*$Z$232</f>
        <v>2248.866105222337</v>
      </c>
      <c r="AG232" s="6">
        <f>$O$232*$AA$232</f>
        <v>485.23300336576824</v>
      </c>
    </row>
    <row r="233" spans="1:33" ht="11.25" customHeight="1" x14ac:dyDescent="0.3">
      <c r="A233" s="4" t="s">
        <v>21</v>
      </c>
      <c r="B233" s="4" t="s">
        <v>33</v>
      </c>
      <c r="C233" s="4" t="s">
        <v>23</v>
      </c>
      <c r="D233" s="4" t="s">
        <v>48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44470</v>
      </c>
      <c r="J233" s="6">
        <v>0</v>
      </c>
      <c r="K233" s="6">
        <v>0</v>
      </c>
      <c r="L233" s="6">
        <v>2.2170000000000001</v>
      </c>
      <c r="M233" s="6">
        <v>2.2170000000000001</v>
      </c>
      <c r="N233" s="6">
        <v>2.2170000000000001</v>
      </c>
      <c r="O233" s="6">
        <v>2.2170000000000001</v>
      </c>
      <c r="P233" s="6">
        <v>1</v>
      </c>
      <c r="Q233" s="4" t="s">
        <v>26</v>
      </c>
      <c r="R233" s="4">
        <v>0</v>
      </c>
      <c r="S233" s="6">
        <v>0</v>
      </c>
      <c r="T233" s="6">
        <v>55</v>
      </c>
      <c r="U233" s="6">
        <v>6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823.74</v>
      </c>
      <c r="X233" s="6">
        <f>IF(ISERROR(VLOOKUP($U$233,'TAR FIN'!$A$1:$O$85,15,0)),0,VLOOKUP($U$233,'TAR FIN'!$A$1:$O$85,15,0))</f>
        <v>201.73</v>
      </c>
      <c r="Y233" s="6"/>
      <c r="Z233" s="6">
        <f ca="1">('TUSD BE'!$AM$48+'TUSD BF'!$AM$48+'TUSD CVA'!$AM$48)*1</f>
        <v>1046.4709656688399</v>
      </c>
      <c r="AA233" s="6">
        <f>('TE BE'!$AA$38+'TE BF'!$AA$38+'TE CVA'!$AA$38)*1</f>
        <v>225.7947898398177</v>
      </c>
      <c r="AB233" s="6">
        <f>$K$233*$V$233</f>
        <v>0</v>
      </c>
      <c r="AC233" s="6">
        <f>$M$233*$W$233</f>
        <v>1826.2315800000001</v>
      </c>
      <c r="AD233" s="6">
        <f>$O$233*$X$233</f>
        <v>447.23541</v>
      </c>
      <c r="AE233" s="6">
        <f>$K$233*$Y$233</f>
        <v>0</v>
      </c>
      <c r="AF233" s="6">
        <f ca="1">$M$233*$Z$233</f>
        <v>2320.026130887818</v>
      </c>
      <c r="AG233" s="6">
        <f>$O$233*$AA$233</f>
        <v>500.58704907487584</v>
      </c>
    </row>
    <row r="234" spans="1:33" ht="11.25" customHeight="1" x14ac:dyDescent="0.3">
      <c r="A234" s="4" t="s">
        <v>21</v>
      </c>
      <c r="B234" s="4" t="s">
        <v>33</v>
      </c>
      <c r="C234" s="4" t="s">
        <v>23</v>
      </c>
      <c r="D234" s="4" t="s">
        <v>48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44501</v>
      </c>
      <c r="J234" s="6">
        <v>0</v>
      </c>
      <c r="K234" s="6">
        <v>0</v>
      </c>
      <c r="L234" s="6">
        <v>2.0489999999999999</v>
      </c>
      <c r="M234" s="6">
        <v>2.0489999999999999</v>
      </c>
      <c r="N234" s="6">
        <v>2.0489999999999999</v>
      </c>
      <c r="O234" s="6">
        <v>2.0489999999999999</v>
      </c>
      <c r="P234" s="6">
        <v>1</v>
      </c>
      <c r="Q234" s="4" t="s">
        <v>26</v>
      </c>
      <c r="R234" s="4">
        <v>0</v>
      </c>
      <c r="S234" s="6">
        <v>0</v>
      </c>
      <c r="T234" s="6">
        <v>55</v>
      </c>
      <c r="U234" s="6">
        <v>6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823.74</v>
      </c>
      <c r="X234" s="6">
        <f>IF(ISERROR(VLOOKUP($U$234,'TAR FIN'!$A$1:$O$85,15,0)),0,VLOOKUP($U$234,'TAR FIN'!$A$1:$O$85,15,0))</f>
        <v>201.73</v>
      </c>
      <c r="Y234" s="6"/>
      <c r="Z234" s="6">
        <f ca="1">('TUSD BE'!$AM$48+'TUSD BF'!$AM$48+'TUSD CVA'!$AM$48)*1</f>
        <v>1046.4709656688399</v>
      </c>
      <c r="AA234" s="6">
        <f>('TE BE'!$AA$38+'TE BF'!$AA$38+'TE CVA'!$AA$38)*1</f>
        <v>225.7947898398177</v>
      </c>
      <c r="AB234" s="6">
        <f>$K$234*$V$234</f>
        <v>0</v>
      </c>
      <c r="AC234" s="6">
        <f>$M$234*$W$234</f>
        <v>1687.8432599999999</v>
      </c>
      <c r="AD234" s="6">
        <f>$O$234*$X$234</f>
        <v>413.34476999999998</v>
      </c>
      <c r="AE234" s="6">
        <f>$K$234*$Y$234</f>
        <v>0</v>
      </c>
      <c r="AF234" s="6">
        <f ca="1">$M$234*$Z$234</f>
        <v>2144.2190086554529</v>
      </c>
      <c r="AG234" s="6">
        <f>$O$234*$AA$234</f>
        <v>462.65352438178644</v>
      </c>
    </row>
    <row r="235" spans="1:33" ht="11.25" customHeight="1" x14ac:dyDescent="0.3">
      <c r="A235" s="4" t="s">
        <v>21</v>
      </c>
      <c r="B235" s="4" t="s">
        <v>33</v>
      </c>
      <c r="C235" s="4" t="s">
        <v>23</v>
      </c>
      <c r="D235" s="4" t="s">
        <v>48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44531</v>
      </c>
      <c r="J235" s="6">
        <v>0</v>
      </c>
      <c r="K235" s="6">
        <v>0</v>
      </c>
      <c r="L235" s="6">
        <v>2.4540000000000002</v>
      </c>
      <c r="M235" s="6">
        <v>2.4540000000000002</v>
      </c>
      <c r="N235" s="6">
        <v>2.4540000000000002</v>
      </c>
      <c r="O235" s="6">
        <v>2.4540000000000002</v>
      </c>
      <c r="P235" s="6">
        <v>1</v>
      </c>
      <c r="Q235" s="4" t="s">
        <v>26</v>
      </c>
      <c r="R235" s="4">
        <v>0</v>
      </c>
      <c r="S235" s="6">
        <v>0</v>
      </c>
      <c r="T235" s="6">
        <v>55</v>
      </c>
      <c r="U235" s="6">
        <v>6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823.74</v>
      </c>
      <c r="X235" s="6">
        <f>IF(ISERROR(VLOOKUP($U$235,'TAR FIN'!$A$1:$O$85,15,0)),0,VLOOKUP($U$235,'TAR FIN'!$A$1:$O$85,15,0))</f>
        <v>201.73</v>
      </c>
      <c r="Y235" s="6"/>
      <c r="Z235" s="6">
        <f ca="1">('TUSD BE'!$AM$48+'TUSD BF'!$AM$48+'TUSD CVA'!$AM$48)*1</f>
        <v>1046.4709656688399</v>
      </c>
      <c r="AA235" s="6">
        <f>('TE BE'!$AA$38+'TE BF'!$AA$38+'TE CVA'!$AA$38)*1</f>
        <v>225.7947898398177</v>
      </c>
      <c r="AB235" s="6">
        <f>$K$235*$V$235</f>
        <v>0</v>
      </c>
      <c r="AC235" s="6">
        <f>$M$235*$W$235</f>
        <v>2021.4579600000002</v>
      </c>
      <c r="AD235" s="6">
        <f>$O$235*$X$235</f>
        <v>495.04542000000004</v>
      </c>
      <c r="AE235" s="6">
        <f>$K$235*$Y$235</f>
        <v>0</v>
      </c>
      <c r="AF235" s="6">
        <f ca="1">$M$235*$Z$235</f>
        <v>2568.0397497513331</v>
      </c>
      <c r="AG235" s="6">
        <f>$O$235*$AA$235</f>
        <v>554.10041426691271</v>
      </c>
    </row>
    <row r="236" spans="1:33" ht="11.25" customHeight="1" x14ac:dyDescent="0.3">
      <c r="A236" s="4" t="s">
        <v>21</v>
      </c>
      <c r="B236" s="4" t="s">
        <v>33</v>
      </c>
      <c r="C236" s="4" t="s">
        <v>23</v>
      </c>
      <c r="D236" s="4" t="s">
        <v>48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44562</v>
      </c>
      <c r="J236" s="6">
        <v>0</v>
      </c>
      <c r="K236" s="6">
        <v>0</v>
      </c>
      <c r="L236" s="6">
        <v>1.929</v>
      </c>
      <c r="M236" s="6">
        <v>1.929</v>
      </c>
      <c r="N236" s="6">
        <v>1.929</v>
      </c>
      <c r="O236" s="6">
        <v>1.929</v>
      </c>
      <c r="P236" s="6">
        <v>1</v>
      </c>
      <c r="Q236" s="4" t="s">
        <v>26</v>
      </c>
      <c r="R236" s="4">
        <v>0</v>
      </c>
      <c r="S236" s="6">
        <v>0</v>
      </c>
      <c r="T236" s="6">
        <v>55</v>
      </c>
      <c r="U236" s="6">
        <v>6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823.74</v>
      </c>
      <c r="X236" s="6">
        <f>IF(ISERROR(VLOOKUP($U$236,'TAR FIN'!$A$1:$O$85,15,0)),0,VLOOKUP($U$236,'TAR FIN'!$A$1:$O$85,15,0))</f>
        <v>201.73</v>
      </c>
      <c r="Y236" s="6"/>
      <c r="Z236" s="6">
        <f ca="1">('TUSD BE'!$AM$48+'TUSD BF'!$AM$48+'TUSD CVA'!$AM$48)*1</f>
        <v>1046.4709656688399</v>
      </c>
      <c r="AA236" s="6">
        <f>('TE BE'!$AA$38+'TE BF'!$AA$38+'TE CVA'!$AA$38)*1</f>
        <v>225.7947898398177</v>
      </c>
      <c r="AB236" s="6">
        <f>$K$236*$V$236</f>
        <v>0</v>
      </c>
      <c r="AC236" s="6">
        <f>$M$236*$W$236</f>
        <v>1588.9944600000001</v>
      </c>
      <c r="AD236" s="6">
        <f>$O$236*$X$236</f>
        <v>389.13716999999997</v>
      </c>
      <c r="AE236" s="6">
        <f>$K$236*$Y$236</f>
        <v>0</v>
      </c>
      <c r="AF236" s="6">
        <f ca="1">$M$236*$Z$236</f>
        <v>2018.6424927751921</v>
      </c>
      <c r="AG236" s="6">
        <f>$O$236*$AA$236</f>
        <v>435.55814960100832</v>
      </c>
    </row>
    <row r="237" spans="1:33" ht="11.25" customHeight="1" x14ac:dyDescent="0.3">
      <c r="A237" s="4" t="s">
        <v>21</v>
      </c>
      <c r="B237" s="4" t="s">
        <v>33</v>
      </c>
      <c r="C237" s="4" t="s">
        <v>23</v>
      </c>
      <c r="D237" s="4" t="s">
        <v>48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2.7389999999999999</v>
      </c>
      <c r="M237" s="6">
        <v>2.7389999999999999</v>
      </c>
      <c r="N237" s="6">
        <v>2.7389999999999999</v>
      </c>
      <c r="O237" s="6">
        <v>2.7389999999999999</v>
      </c>
      <c r="P237" s="6">
        <v>1</v>
      </c>
      <c r="Q237" s="4" t="s">
        <v>26</v>
      </c>
      <c r="R237" s="4">
        <v>0</v>
      </c>
      <c r="S237" s="6">
        <v>0</v>
      </c>
      <c r="T237" s="6">
        <v>55</v>
      </c>
      <c r="U237" s="6">
        <v>6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823.74</v>
      </c>
      <c r="X237" s="6">
        <f>IF(ISERROR(VLOOKUP($U$237,'TAR FIN'!$A$1:$O$85,15,0)),0,VLOOKUP($U$237,'TAR FIN'!$A$1:$O$85,15,0))</f>
        <v>201.73</v>
      </c>
      <c r="Y237" s="6"/>
      <c r="Z237" s="6">
        <f ca="1">('TUSD BE'!$AM$48+'TUSD BF'!$AM$48+'TUSD CVA'!$AM$48)*1</f>
        <v>1046.4709656688399</v>
      </c>
      <c r="AA237" s="6">
        <f>('TE BE'!$AA$38+'TE BF'!$AA$38+'TE CVA'!$AA$38)*1</f>
        <v>225.7947898398177</v>
      </c>
      <c r="AB237" s="6">
        <f>$K$237*$V$237</f>
        <v>0</v>
      </c>
      <c r="AC237" s="6">
        <f>$M$237*$W$237</f>
        <v>2256.2238600000001</v>
      </c>
      <c r="AD237" s="6">
        <f>$O$237*$X$237</f>
        <v>552.53846999999996</v>
      </c>
      <c r="AE237" s="6">
        <f>$K$237*$Y$237</f>
        <v>0</v>
      </c>
      <c r="AF237" s="6">
        <f ca="1">$M$237*$Z$237</f>
        <v>2866.2839749669524</v>
      </c>
      <c r="AG237" s="6">
        <f>$O$237*$AA$237</f>
        <v>618.45192937126069</v>
      </c>
    </row>
    <row r="238" spans="1:33" ht="11.25" customHeight="1" x14ac:dyDescent="0.3">
      <c r="A238" s="4" t="s">
        <v>21</v>
      </c>
      <c r="B238" s="4" t="s">
        <v>33</v>
      </c>
      <c r="C238" s="4" t="s">
        <v>23</v>
      </c>
      <c r="D238" s="4" t="s">
        <v>48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3.8340000000000001</v>
      </c>
      <c r="M238" s="6">
        <v>3.8340000000000001</v>
      </c>
      <c r="N238" s="6">
        <v>3.8340000000000001</v>
      </c>
      <c r="O238" s="6">
        <v>3.8340000000000001</v>
      </c>
      <c r="P238" s="6">
        <v>1</v>
      </c>
      <c r="Q238" s="4" t="s">
        <v>26</v>
      </c>
      <c r="R238" s="4">
        <v>0</v>
      </c>
      <c r="S238" s="6">
        <v>0</v>
      </c>
      <c r="T238" s="6">
        <v>55</v>
      </c>
      <c r="U238" s="6">
        <v>6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823.74</v>
      </c>
      <c r="X238" s="6">
        <f>IF(ISERROR(VLOOKUP($U$238,'TAR FIN'!$A$1:$O$85,15,0)),0,VLOOKUP($U$238,'TAR FIN'!$A$1:$O$85,15,0))</f>
        <v>201.73</v>
      </c>
      <c r="Y238" s="6"/>
      <c r="Z238" s="6">
        <f ca="1">('TUSD BE'!$AM$48+'TUSD BF'!$AM$48+'TUSD CVA'!$AM$48)*1</f>
        <v>1046.4709656688399</v>
      </c>
      <c r="AA238" s="6">
        <f>('TE BE'!$AA$38+'TE BF'!$AA$38+'TE CVA'!$AA$38)*1</f>
        <v>225.7947898398177</v>
      </c>
      <c r="AB238" s="6">
        <f>$K$238*$V$238</f>
        <v>0</v>
      </c>
      <c r="AC238" s="6">
        <f>$M$238*$W$238</f>
        <v>3158.2191600000001</v>
      </c>
      <c r="AD238" s="6">
        <f>$O$238*$X$238</f>
        <v>773.43281999999999</v>
      </c>
      <c r="AE238" s="6">
        <f>$K$238*$Y$238</f>
        <v>0</v>
      </c>
      <c r="AF238" s="6">
        <f ca="1">$M$238*$Z$238</f>
        <v>4012.1696823743323</v>
      </c>
      <c r="AG238" s="6">
        <f>$O$238*$AA$238</f>
        <v>865.69722424586109</v>
      </c>
    </row>
    <row r="239" spans="1:33" ht="11.25" customHeight="1" x14ac:dyDescent="0.3">
      <c r="A239" s="4" t="s">
        <v>21</v>
      </c>
      <c r="B239" s="4" t="s">
        <v>33</v>
      </c>
      <c r="C239" s="4" t="s">
        <v>23</v>
      </c>
      <c r="D239" s="4" t="s">
        <v>34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44287</v>
      </c>
      <c r="J239" s="6">
        <v>0</v>
      </c>
      <c r="K239" s="6">
        <v>0</v>
      </c>
      <c r="L239" s="6">
        <v>14.379</v>
      </c>
      <c r="M239" s="6">
        <v>14.379</v>
      </c>
      <c r="N239" s="6">
        <v>14.379</v>
      </c>
      <c r="O239" s="6">
        <v>14.379</v>
      </c>
      <c r="P239" s="6">
        <v>3</v>
      </c>
      <c r="Q239" s="4" t="s">
        <v>26</v>
      </c>
      <c r="R239" s="4">
        <v>0</v>
      </c>
      <c r="S239" s="6">
        <v>0</v>
      </c>
      <c r="T239" s="6">
        <v>55</v>
      </c>
      <c r="U239" s="6">
        <v>6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823.74</v>
      </c>
      <c r="X239" s="6">
        <f>IF(ISERROR(VLOOKUP($U$239,'TAR FIN'!$A$1:$O$85,15,0)),0,VLOOKUP($U$239,'TAR FIN'!$A$1:$O$85,15,0))</f>
        <v>201.73</v>
      </c>
      <c r="Y239" s="6"/>
      <c r="Z239" s="6">
        <f ca="1">('TUSD BE'!$AM$48+'TUSD BF'!$AM$48+'TUSD CVA'!$AM$48)*1</f>
        <v>1046.4709656688399</v>
      </c>
      <c r="AA239" s="6">
        <f>('TE BE'!$AA$38+'TE BF'!$AA$38+'TE CVA'!$AA$38)*1</f>
        <v>225.7947898398177</v>
      </c>
      <c r="AB239" s="6">
        <f>$K$239*$V$239</f>
        <v>0</v>
      </c>
      <c r="AC239" s="6">
        <f>$M$239*$W$239</f>
        <v>11844.55746</v>
      </c>
      <c r="AD239" s="6">
        <f>$O$239*$X$239</f>
        <v>2900.6756699999996</v>
      </c>
      <c r="AE239" s="6">
        <f>$K$239*$Y$239</f>
        <v>0</v>
      </c>
      <c r="AF239" s="6">
        <f ca="1">$M$239*$Z$239</f>
        <v>15047.206015352249</v>
      </c>
      <c r="AG239" s="6">
        <f>$O$239*$AA$239</f>
        <v>3246.7032831067386</v>
      </c>
    </row>
    <row r="240" spans="1:33" ht="11.25" customHeight="1" x14ac:dyDescent="0.3">
      <c r="A240" s="4" t="s">
        <v>28</v>
      </c>
      <c r="B240" s="4" t="s">
        <v>33</v>
      </c>
      <c r="C240" s="4" t="s">
        <v>23</v>
      </c>
      <c r="D240" s="4" t="s">
        <v>34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44287</v>
      </c>
      <c r="J240" s="6">
        <v>0</v>
      </c>
      <c r="K240" s="6">
        <v>0</v>
      </c>
      <c r="L240" s="6">
        <v>0.495</v>
      </c>
      <c r="M240" s="6">
        <v>0.495</v>
      </c>
      <c r="N240" s="6">
        <v>0.495</v>
      </c>
      <c r="O240" s="6">
        <v>0.495</v>
      </c>
      <c r="P240" s="6">
        <v>1</v>
      </c>
      <c r="Q240" s="4" t="s">
        <v>26</v>
      </c>
      <c r="R240" s="4">
        <v>0</v>
      </c>
      <c r="S240" s="6">
        <v>0</v>
      </c>
      <c r="T240" s="6">
        <v>55</v>
      </c>
      <c r="U240" s="6">
        <v>6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823.74</v>
      </c>
      <c r="X240" s="6">
        <f>IF(ISERROR(VLOOKUP($U$240,'TAR FIN'!$A$1:$O$85,15,0)),0,VLOOKUP($U$240,'TAR FIN'!$A$1:$O$85,15,0))</f>
        <v>201.73</v>
      </c>
      <c r="Y240" s="6"/>
      <c r="Z240" s="6">
        <f ca="1">('TUSD BE'!$AM$48+'TUSD BF'!$AM$48+'TUSD CVA'!$AM$48)*1</f>
        <v>1046.4709656688399</v>
      </c>
      <c r="AA240" s="6">
        <f>('TE BE'!$AA$38+'TE BF'!$AA$38+'TE CVA'!$AA$38)*1</f>
        <v>225.7947898398177</v>
      </c>
      <c r="AB240" s="6">
        <f>$K$240*$V$240</f>
        <v>0</v>
      </c>
      <c r="AC240" s="6">
        <f>$M$240*$W$240</f>
        <v>407.75130000000001</v>
      </c>
      <c r="AD240" s="6">
        <f>$O$240*$X$240</f>
        <v>99.856349999999992</v>
      </c>
      <c r="AE240" s="6">
        <f>$K$240*$Y$240</f>
        <v>0</v>
      </c>
      <c r="AF240" s="6">
        <f ca="1">$M$240*$Z$240</f>
        <v>518.00312800607571</v>
      </c>
      <c r="AG240" s="6">
        <f>$O$240*$AA$240</f>
        <v>111.76842097070976</v>
      </c>
    </row>
    <row r="241" spans="1:33" ht="11.25" customHeight="1" x14ac:dyDescent="0.3">
      <c r="A241" s="4" t="s">
        <v>21</v>
      </c>
      <c r="B241" s="4" t="s">
        <v>33</v>
      </c>
      <c r="C241" s="4" t="s">
        <v>23</v>
      </c>
      <c r="D241" s="4" t="s">
        <v>34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44317</v>
      </c>
      <c r="J241" s="6">
        <v>0</v>
      </c>
      <c r="K241" s="6">
        <v>0</v>
      </c>
      <c r="L241" s="6">
        <v>13.557</v>
      </c>
      <c r="M241" s="6">
        <v>13.557</v>
      </c>
      <c r="N241" s="6">
        <v>13.557</v>
      </c>
      <c r="O241" s="6">
        <v>13.557</v>
      </c>
      <c r="P241" s="6">
        <v>3</v>
      </c>
      <c r="Q241" s="4" t="s">
        <v>26</v>
      </c>
      <c r="R241" s="4">
        <v>0</v>
      </c>
      <c r="S241" s="6">
        <v>0</v>
      </c>
      <c r="T241" s="6">
        <v>55</v>
      </c>
      <c r="U241" s="6">
        <v>6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823.74</v>
      </c>
      <c r="X241" s="6">
        <f>IF(ISERROR(VLOOKUP($U$241,'TAR FIN'!$A$1:$O$85,15,0)),0,VLOOKUP($U$241,'TAR FIN'!$A$1:$O$85,15,0))</f>
        <v>201.73</v>
      </c>
      <c r="Y241" s="6"/>
      <c r="Z241" s="6">
        <f ca="1">('TUSD BE'!$AM$48+'TUSD BF'!$AM$48+'TUSD CVA'!$AM$48)*1</f>
        <v>1046.4709656688399</v>
      </c>
      <c r="AA241" s="6">
        <f>('TE BE'!$AA$38+'TE BF'!$AA$38+'TE CVA'!$AA$38)*1</f>
        <v>225.7947898398177</v>
      </c>
      <c r="AB241" s="6">
        <f>$K$241*$V$241</f>
        <v>0</v>
      </c>
      <c r="AC241" s="6">
        <f>$M$241*$W$241</f>
        <v>11167.44318</v>
      </c>
      <c r="AD241" s="6">
        <f>$O$241*$X$241</f>
        <v>2734.8536100000001</v>
      </c>
      <c r="AE241" s="6">
        <f>$K$241*$Y$241</f>
        <v>0</v>
      </c>
      <c r="AF241" s="6">
        <f ca="1">$M$241*$Z$241</f>
        <v>14187.006881572463</v>
      </c>
      <c r="AG241" s="6">
        <f>$O$241*$AA$241</f>
        <v>3061.0999658584087</v>
      </c>
    </row>
    <row r="242" spans="1:33" ht="11.25" customHeight="1" x14ac:dyDescent="0.3">
      <c r="A242" s="4" t="s">
        <v>28</v>
      </c>
      <c r="B242" s="4" t="s">
        <v>33</v>
      </c>
      <c r="C242" s="4" t="s">
        <v>23</v>
      </c>
      <c r="D242" s="4" t="s">
        <v>34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44317</v>
      </c>
      <c r="J242" s="6">
        <v>0</v>
      </c>
      <c r="K242" s="6">
        <v>0</v>
      </c>
      <c r="L242" s="6">
        <v>1.4350000000000001</v>
      </c>
      <c r="M242" s="6">
        <v>1.4350000000000001</v>
      </c>
      <c r="N242" s="6">
        <v>1.4350000000000001</v>
      </c>
      <c r="O242" s="6">
        <v>1.4350000000000001</v>
      </c>
      <c r="P242" s="6">
        <v>1</v>
      </c>
      <c r="Q242" s="4" t="s">
        <v>26</v>
      </c>
      <c r="R242" s="4">
        <v>0</v>
      </c>
      <c r="S242" s="6">
        <v>0</v>
      </c>
      <c r="T242" s="6">
        <v>55</v>
      </c>
      <c r="U242" s="6">
        <v>6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823.74</v>
      </c>
      <c r="X242" s="6">
        <f>IF(ISERROR(VLOOKUP($U$242,'TAR FIN'!$A$1:$O$85,15,0)),0,VLOOKUP($U$242,'TAR FIN'!$A$1:$O$85,15,0))</f>
        <v>201.73</v>
      </c>
      <c r="Y242" s="6"/>
      <c r="Z242" s="6">
        <f ca="1">('TUSD BE'!$AM$48+'TUSD BF'!$AM$48+'TUSD CVA'!$AM$48)*1</f>
        <v>1046.4709656688399</v>
      </c>
      <c r="AA242" s="6">
        <f>('TE BE'!$AA$38+'TE BF'!$AA$38+'TE CVA'!$AA$38)*1</f>
        <v>225.7947898398177</v>
      </c>
      <c r="AB242" s="6">
        <f>$K$242*$V$242</f>
        <v>0</v>
      </c>
      <c r="AC242" s="6">
        <f>$M$242*$W$242</f>
        <v>1182.0669</v>
      </c>
      <c r="AD242" s="6">
        <f>$O$242*$X$242</f>
        <v>289.48255</v>
      </c>
      <c r="AE242" s="6">
        <f>$K$242*$Y$242</f>
        <v>0</v>
      </c>
      <c r="AF242" s="6">
        <f ca="1">$M$242*$Z$242</f>
        <v>1501.6858357347853</v>
      </c>
      <c r="AG242" s="6">
        <f>$O$242*$AA$242</f>
        <v>324.01552342013838</v>
      </c>
    </row>
    <row r="243" spans="1:33" ht="11.25" customHeight="1" x14ac:dyDescent="0.3">
      <c r="A243" s="4" t="s">
        <v>21</v>
      </c>
      <c r="B243" s="4" t="s">
        <v>33</v>
      </c>
      <c r="C243" s="4" t="s">
        <v>23</v>
      </c>
      <c r="D243" s="4" t="s">
        <v>34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44348</v>
      </c>
      <c r="J243" s="6">
        <v>0</v>
      </c>
      <c r="K243" s="6">
        <v>0</v>
      </c>
      <c r="L243" s="6">
        <v>12.391999999999999</v>
      </c>
      <c r="M243" s="6">
        <v>12.391999999999999</v>
      </c>
      <c r="N243" s="6">
        <v>12.391999999999999</v>
      </c>
      <c r="O243" s="6">
        <v>12.391999999999999</v>
      </c>
      <c r="P243" s="6">
        <v>3</v>
      </c>
      <c r="Q243" s="4" t="s">
        <v>26</v>
      </c>
      <c r="R243" s="4">
        <v>0</v>
      </c>
      <c r="S243" s="6">
        <v>0</v>
      </c>
      <c r="T243" s="6">
        <v>55</v>
      </c>
      <c r="U243" s="6">
        <v>6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823.74</v>
      </c>
      <c r="X243" s="6">
        <f>IF(ISERROR(VLOOKUP($U$243,'TAR FIN'!$A$1:$O$85,15,0)),0,VLOOKUP($U$243,'TAR FIN'!$A$1:$O$85,15,0))</f>
        <v>201.73</v>
      </c>
      <c r="Y243" s="6"/>
      <c r="Z243" s="6">
        <f ca="1">('TUSD BE'!$AM$48+'TUSD BF'!$AM$48+'TUSD CVA'!$AM$48)*1</f>
        <v>1046.4709656688399</v>
      </c>
      <c r="AA243" s="6">
        <f>('TE BE'!$AA$38+'TE BF'!$AA$38+'TE CVA'!$AA$38)*1</f>
        <v>225.7947898398177</v>
      </c>
      <c r="AB243" s="6">
        <f>$K$243*$V$243</f>
        <v>0</v>
      </c>
      <c r="AC243" s="6">
        <f>$M$243*$W$243</f>
        <v>10207.78608</v>
      </c>
      <c r="AD243" s="6">
        <f>$O$243*$X$243</f>
        <v>2499.8381599999998</v>
      </c>
      <c r="AE243" s="6">
        <f>$K$243*$Y$243</f>
        <v>0</v>
      </c>
      <c r="AF243" s="6">
        <f ca="1">$M$243*$Z$243</f>
        <v>12967.868206568262</v>
      </c>
      <c r="AG243" s="6">
        <f>$O$243*$AA$243</f>
        <v>2798.0490356950208</v>
      </c>
    </row>
    <row r="244" spans="1:33" ht="11.25" customHeight="1" x14ac:dyDescent="0.3">
      <c r="A244" s="4" t="s">
        <v>28</v>
      </c>
      <c r="B244" s="4" t="s">
        <v>33</v>
      </c>
      <c r="C244" s="4" t="s">
        <v>23</v>
      </c>
      <c r="D244" s="4" t="s">
        <v>34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44348</v>
      </c>
      <c r="J244" s="6">
        <v>0</v>
      </c>
      <c r="K244" s="6">
        <v>0</v>
      </c>
      <c r="L244" s="6">
        <v>1.054</v>
      </c>
      <c r="M244" s="6">
        <v>1.054</v>
      </c>
      <c r="N244" s="6">
        <v>1.054</v>
      </c>
      <c r="O244" s="6">
        <v>1.054</v>
      </c>
      <c r="P244" s="6">
        <v>1</v>
      </c>
      <c r="Q244" s="4" t="s">
        <v>26</v>
      </c>
      <c r="R244" s="4">
        <v>0</v>
      </c>
      <c r="S244" s="6">
        <v>0</v>
      </c>
      <c r="T244" s="6">
        <v>55</v>
      </c>
      <c r="U244" s="6">
        <v>6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823.74</v>
      </c>
      <c r="X244" s="6">
        <f>IF(ISERROR(VLOOKUP($U$244,'TAR FIN'!$A$1:$O$85,15,0)),0,VLOOKUP($U$244,'TAR FIN'!$A$1:$O$85,15,0))</f>
        <v>201.73</v>
      </c>
      <c r="Y244" s="6"/>
      <c r="Z244" s="6">
        <f ca="1">('TUSD BE'!$AM$48+'TUSD BF'!$AM$48+'TUSD CVA'!$AM$48)*1</f>
        <v>1046.4709656688399</v>
      </c>
      <c r="AA244" s="6">
        <f>('TE BE'!$AA$38+'TE BF'!$AA$38+'TE CVA'!$AA$38)*1</f>
        <v>225.7947898398177</v>
      </c>
      <c r="AB244" s="6">
        <f>$K$244*$V$244</f>
        <v>0</v>
      </c>
      <c r="AC244" s="6">
        <f>$M$244*$W$244</f>
        <v>868.22196000000008</v>
      </c>
      <c r="AD244" s="6">
        <f>$O$244*$X$244</f>
        <v>212.62342000000001</v>
      </c>
      <c r="AE244" s="6">
        <f>$K$244*$Y$244</f>
        <v>0</v>
      </c>
      <c r="AF244" s="6">
        <f ca="1">$M$244*$Z$244</f>
        <v>1102.9803978149573</v>
      </c>
      <c r="AG244" s="6">
        <f>$O$244*$AA$244</f>
        <v>237.98770849116787</v>
      </c>
    </row>
    <row r="245" spans="1:33" ht="11.25" customHeight="1" x14ac:dyDescent="0.3">
      <c r="A245" s="4" t="s">
        <v>21</v>
      </c>
      <c r="B245" s="4" t="s">
        <v>33</v>
      </c>
      <c r="C245" s="4" t="s">
        <v>23</v>
      </c>
      <c r="D245" s="4" t="s">
        <v>34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44378</v>
      </c>
      <c r="J245" s="6">
        <v>0</v>
      </c>
      <c r="K245" s="6">
        <v>0</v>
      </c>
      <c r="L245" s="6">
        <v>10.443</v>
      </c>
      <c r="M245" s="6">
        <v>10.443</v>
      </c>
      <c r="N245" s="6">
        <v>10.443</v>
      </c>
      <c r="O245" s="6">
        <v>10.443</v>
      </c>
      <c r="P245" s="6">
        <v>3</v>
      </c>
      <c r="Q245" s="4" t="s">
        <v>26</v>
      </c>
      <c r="R245" s="4">
        <v>0</v>
      </c>
      <c r="S245" s="6">
        <v>0</v>
      </c>
      <c r="T245" s="6">
        <v>55</v>
      </c>
      <c r="U245" s="6">
        <v>6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823.74</v>
      </c>
      <c r="X245" s="6">
        <f>IF(ISERROR(VLOOKUP($U$245,'TAR FIN'!$A$1:$O$85,15,0)),0,VLOOKUP($U$245,'TAR FIN'!$A$1:$O$85,15,0))</f>
        <v>201.73</v>
      </c>
      <c r="Y245" s="6"/>
      <c r="Z245" s="6">
        <f ca="1">('TUSD BE'!$AM$48+'TUSD BF'!$AM$48+'TUSD CVA'!$AM$48)*1</f>
        <v>1046.4709656688399</v>
      </c>
      <c r="AA245" s="6">
        <f>('TE BE'!$AA$38+'TE BF'!$AA$38+'TE CVA'!$AA$38)*1</f>
        <v>225.7947898398177</v>
      </c>
      <c r="AB245" s="6">
        <f>$K$245*$V$245</f>
        <v>0</v>
      </c>
      <c r="AC245" s="6">
        <f>$M$245*$W$245</f>
        <v>8602.31682</v>
      </c>
      <c r="AD245" s="6">
        <f>$O$245*$X$245</f>
        <v>2106.6663899999999</v>
      </c>
      <c r="AE245" s="6">
        <f>$K$245*$Y$245</f>
        <v>0</v>
      </c>
      <c r="AF245" s="6">
        <f ca="1">$M$245*$Z$245</f>
        <v>10928.296294479695</v>
      </c>
      <c r="AG245" s="6">
        <f>$O$245*$AA$245</f>
        <v>2357.9749902972162</v>
      </c>
    </row>
    <row r="246" spans="1:33" ht="11.25" customHeight="1" x14ac:dyDescent="0.3">
      <c r="A246" s="4" t="s">
        <v>28</v>
      </c>
      <c r="B246" s="4" t="s">
        <v>33</v>
      </c>
      <c r="C246" s="4" t="s">
        <v>23</v>
      </c>
      <c r="D246" s="4" t="s">
        <v>34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44378</v>
      </c>
      <c r="J246" s="6">
        <v>0</v>
      </c>
      <c r="K246" s="6">
        <v>0</v>
      </c>
      <c r="L246" s="6">
        <v>0.61399999999999999</v>
      </c>
      <c r="M246" s="6">
        <v>0.61399999999999999</v>
      </c>
      <c r="N246" s="6">
        <v>0.61399999999999999</v>
      </c>
      <c r="O246" s="6">
        <v>0.61399999999999999</v>
      </c>
      <c r="P246" s="6">
        <v>1</v>
      </c>
      <c r="Q246" s="4" t="s">
        <v>26</v>
      </c>
      <c r="R246" s="4">
        <v>0</v>
      </c>
      <c r="S246" s="6">
        <v>0</v>
      </c>
      <c r="T246" s="6">
        <v>55</v>
      </c>
      <c r="U246" s="6">
        <v>6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823.74</v>
      </c>
      <c r="X246" s="6">
        <f>IF(ISERROR(VLOOKUP($U$246,'TAR FIN'!$A$1:$O$85,15,0)),0,VLOOKUP($U$246,'TAR FIN'!$A$1:$O$85,15,0))</f>
        <v>201.73</v>
      </c>
      <c r="Y246" s="6"/>
      <c r="Z246" s="6">
        <f ca="1">('TUSD BE'!$AM$48+'TUSD BF'!$AM$48+'TUSD CVA'!$AM$48)*1</f>
        <v>1046.4709656688399</v>
      </c>
      <c r="AA246" s="6">
        <f>('TE BE'!$AA$38+'TE BF'!$AA$38+'TE CVA'!$AA$38)*1</f>
        <v>225.7947898398177</v>
      </c>
      <c r="AB246" s="6">
        <f>$K$246*$V$246</f>
        <v>0</v>
      </c>
      <c r="AC246" s="6">
        <f>$M$246*$W$246</f>
        <v>505.77636000000001</v>
      </c>
      <c r="AD246" s="6">
        <f>$O$246*$X$246</f>
        <v>123.86221999999999</v>
      </c>
      <c r="AE246" s="6">
        <f>$K$246*$Y$246</f>
        <v>0</v>
      </c>
      <c r="AF246" s="6">
        <f ca="1">$M$246*$Z$246</f>
        <v>642.53317292066765</v>
      </c>
      <c r="AG246" s="6">
        <f>$O$246*$AA$246</f>
        <v>138.63800096164806</v>
      </c>
    </row>
    <row r="247" spans="1:33" ht="11.25" customHeight="1" x14ac:dyDescent="0.3">
      <c r="A247" s="4" t="s">
        <v>21</v>
      </c>
      <c r="B247" s="4" t="s">
        <v>33</v>
      </c>
      <c r="C247" s="4" t="s">
        <v>23</v>
      </c>
      <c r="D247" s="4" t="s">
        <v>34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44409</v>
      </c>
      <c r="J247" s="6">
        <v>0</v>
      </c>
      <c r="K247" s="6">
        <v>0</v>
      </c>
      <c r="L247" s="6">
        <v>10.656000000000001</v>
      </c>
      <c r="M247" s="6">
        <v>10.656000000000001</v>
      </c>
      <c r="N247" s="6">
        <v>10.656000000000001</v>
      </c>
      <c r="O247" s="6">
        <v>10.656000000000001</v>
      </c>
      <c r="P247" s="6">
        <v>3</v>
      </c>
      <c r="Q247" s="4" t="s">
        <v>26</v>
      </c>
      <c r="R247" s="4">
        <v>0</v>
      </c>
      <c r="S247" s="6">
        <v>0</v>
      </c>
      <c r="T247" s="6">
        <v>55</v>
      </c>
      <c r="U247" s="6">
        <v>6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823.74</v>
      </c>
      <c r="X247" s="6">
        <f>IF(ISERROR(VLOOKUP($U$247,'TAR FIN'!$A$1:$O$85,15,0)),0,VLOOKUP($U$247,'TAR FIN'!$A$1:$O$85,15,0))</f>
        <v>201.73</v>
      </c>
      <c r="Y247" s="6"/>
      <c r="Z247" s="6">
        <f ca="1">('TUSD BE'!$AM$48+'TUSD BF'!$AM$48+'TUSD CVA'!$AM$48)*1</f>
        <v>1046.4709656688399</v>
      </c>
      <c r="AA247" s="6">
        <f>('TE BE'!$AA$38+'TE BF'!$AA$38+'TE CVA'!$AA$38)*1</f>
        <v>225.7947898398177</v>
      </c>
      <c r="AB247" s="6">
        <f>$K$247*$V$247</f>
        <v>0</v>
      </c>
      <c r="AC247" s="6">
        <f>$M$247*$W$247</f>
        <v>8777.7734400000008</v>
      </c>
      <c r="AD247" s="6">
        <f>$O$247*$X$247</f>
        <v>2149.6348800000001</v>
      </c>
      <c r="AE247" s="6">
        <f>$K$247*$Y$247</f>
        <v>0</v>
      </c>
      <c r="AF247" s="6">
        <f ca="1">$M$247*$Z$247</f>
        <v>11151.194610167158</v>
      </c>
      <c r="AG247" s="6">
        <f>$O$247*$AA$247</f>
        <v>2406.0692805330973</v>
      </c>
    </row>
    <row r="248" spans="1:33" ht="11.25" customHeight="1" x14ac:dyDescent="0.3">
      <c r="A248" s="4" t="s">
        <v>28</v>
      </c>
      <c r="B248" s="4" t="s">
        <v>33</v>
      </c>
      <c r="C248" s="4" t="s">
        <v>23</v>
      </c>
      <c r="D248" s="4" t="s">
        <v>34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44409</v>
      </c>
      <c r="J248" s="6">
        <v>0</v>
      </c>
      <c r="K248" s="6">
        <v>0</v>
      </c>
      <c r="L248" s="6">
        <v>0.65</v>
      </c>
      <c r="M248" s="6">
        <v>0.65</v>
      </c>
      <c r="N248" s="6">
        <v>0.65</v>
      </c>
      <c r="O248" s="6">
        <v>0.65</v>
      </c>
      <c r="P248" s="6">
        <v>1</v>
      </c>
      <c r="Q248" s="4" t="s">
        <v>26</v>
      </c>
      <c r="R248" s="4">
        <v>0</v>
      </c>
      <c r="S248" s="6">
        <v>0</v>
      </c>
      <c r="T248" s="6">
        <v>55</v>
      </c>
      <c r="U248" s="6">
        <v>6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823.74</v>
      </c>
      <c r="X248" s="6">
        <f>IF(ISERROR(VLOOKUP($U$248,'TAR FIN'!$A$1:$O$85,15,0)),0,VLOOKUP($U$248,'TAR FIN'!$A$1:$O$85,15,0))</f>
        <v>201.73</v>
      </c>
      <c r="Y248" s="6"/>
      <c r="Z248" s="6">
        <f ca="1">('TUSD BE'!$AM$48+'TUSD BF'!$AM$48+'TUSD CVA'!$AM$48)*1</f>
        <v>1046.4709656688399</v>
      </c>
      <c r="AA248" s="6">
        <f>('TE BE'!$AA$38+'TE BF'!$AA$38+'TE CVA'!$AA$38)*1</f>
        <v>225.7947898398177</v>
      </c>
      <c r="AB248" s="6">
        <f>$K$248*$V$248</f>
        <v>0</v>
      </c>
      <c r="AC248" s="6">
        <f>$M$248*$W$248</f>
        <v>535.43100000000004</v>
      </c>
      <c r="AD248" s="6">
        <f>$O$248*$X$248</f>
        <v>131.12450000000001</v>
      </c>
      <c r="AE248" s="6">
        <f>$K$248*$Y$248</f>
        <v>0</v>
      </c>
      <c r="AF248" s="6">
        <f ca="1">$M$248*$Z$248</f>
        <v>680.20612768474598</v>
      </c>
      <c r="AG248" s="6">
        <f>$O$248*$AA$248</f>
        <v>146.76661339588151</v>
      </c>
    </row>
    <row r="249" spans="1:33" ht="11.25" customHeight="1" x14ac:dyDescent="0.3">
      <c r="A249" s="4" t="s">
        <v>21</v>
      </c>
      <c r="B249" s="4" t="s">
        <v>33</v>
      </c>
      <c r="C249" s="4" t="s">
        <v>23</v>
      </c>
      <c r="D249" s="4" t="s">
        <v>34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44440</v>
      </c>
      <c r="J249" s="6">
        <v>0</v>
      </c>
      <c r="K249" s="6">
        <v>0</v>
      </c>
      <c r="L249" s="6">
        <v>12.375</v>
      </c>
      <c r="M249" s="6">
        <v>12.375</v>
      </c>
      <c r="N249" s="6">
        <v>12.375</v>
      </c>
      <c r="O249" s="6">
        <v>12.375</v>
      </c>
      <c r="P249" s="6">
        <v>3</v>
      </c>
      <c r="Q249" s="4" t="s">
        <v>26</v>
      </c>
      <c r="R249" s="4">
        <v>0</v>
      </c>
      <c r="S249" s="6">
        <v>0</v>
      </c>
      <c r="T249" s="6">
        <v>55</v>
      </c>
      <c r="U249" s="6">
        <v>6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823.74</v>
      </c>
      <c r="X249" s="6">
        <f>IF(ISERROR(VLOOKUP($U$249,'TAR FIN'!$A$1:$O$85,15,0)),0,VLOOKUP($U$249,'TAR FIN'!$A$1:$O$85,15,0))</f>
        <v>201.73</v>
      </c>
      <c r="Y249" s="6"/>
      <c r="Z249" s="6">
        <f ca="1">('TUSD BE'!$AM$48+'TUSD BF'!$AM$48+'TUSD CVA'!$AM$48)*1</f>
        <v>1046.4709656688399</v>
      </c>
      <c r="AA249" s="6">
        <f>('TE BE'!$AA$38+'TE BF'!$AA$38+'TE CVA'!$AA$38)*1</f>
        <v>225.7947898398177</v>
      </c>
      <c r="AB249" s="6">
        <f>$K$249*$V$249</f>
        <v>0</v>
      </c>
      <c r="AC249" s="6">
        <f>$M$249*$W$249</f>
        <v>10193.782499999999</v>
      </c>
      <c r="AD249" s="6">
        <f>$O$249*$X$249</f>
        <v>2496.4087500000001</v>
      </c>
      <c r="AE249" s="6">
        <f>$K$249*$Y$249</f>
        <v>0</v>
      </c>
      <c r="AF249" s="6">
        <f ca="1">$M$249*$Z$249</f>
        <v>12950.078200151893</v>
      </c>
      <c r="AG249" s="6">
        <f>$O$249*$AA$249</f>
        <v>2794.2105242677439</v>
      </c>
    </row>
    <row r="250" spans="1:33" ht="11.25" customHeight="1" x14ac:dyDescent="0.3">
      <c r="A250" s="4" t="s">
        <v>28</v>
      </c>
      <c r="B250" s="4" t="s">
        <v>33</v>
      </c>
      <c r="C250" s="4" t="s">
        <v>23</v>
      </c>
      <c r="D250" s="4" t="s">
        <v>34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44440</v>
      </c>
      <c r="J250" s="6">
        <v>0</v>
      </c>
      <c r="K250" s="6">
        <v>0</v>
      </c>
      <c r="L250" s="6">
        <v>0.97</v>
      </c>
      <c r="M250" s="6">
        <v>0.97</v>
      </c>
      <c r="N250" s="6">
        <v>0.97</v>
      </c>
      <c r="O250" s="6">
        <v>0.97</v>
      </c>
      <c r="P250" s="6">
        <v>1</v>
      </c>
      <c r="Q250" s="4" t="s">
        <v>26</v>
      </c>
      <c r="R250" s="4">
        <v>0</v>
      </c>
      <c r="S250" s="6">
        <v>0</v>
      </c>
      <c r="T250" s="6">
        <v>55</v>
      </c>
      <c r="U250" s="6">
        <v>6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823.74</v>
      </c>
      <c r="X250" s="6">
        <f>IF(ISERROR(VLOOKUP($U$250,'TAR FIN'!$A$1:$O$85,15,0)),0,VLOOKUP($U$250,'TAR FIN'!$A$1:$O$85,15,0))</f>
        <v>201.73</v>
      </c>
      <c r="Y250" s="6"/>
      <c r="Z250" s="6">
        <f ca="1">('TUSD BE'!$AM$48+'TUSD BF'!$AM$48+'TUSD CVA'!$AM$48)*1</f>
        <v>1046.4709656688399</v>
      </c>
      <c r="AA250" s="6">
        <f>('TE BE'!$AA$38+'TE BF'!$AA$38+'TE CVA'!$AA$38)*1</f>
        <v>225.7947898398177</v>
      </c>
      <c r="AB250" s="6">
        <f>$K$250*$V$250</f>
        <v>0</v>
      </c>
      <c r="AC250" s="6">
        <f>$M$250*$W$250</f>
        <v>799.02779999999996</v>
      </c>
      <c r="AD250" s="6">
        <f>$O$250*$X$250</f>
        <v>195.67809999999997</v>
      </c>
      <c r="AE250" s="6">
        <f>$K$250*$Y$250</f>
        <v>0</v>
      </c>
      <c r="AF250" s="6">
        <f ca="1">$M$250*$Z$250</f>
        <v>1015.0768366987746</v>
      </c>
      <c r="AG250" s="6">
        <f>$O$250*$AA$250</f>
        <v>219.02094614462317</v>
      </c>
    </row>
    <row r="251" spans="1:33" ht="11.25" customHeight="1" x14ac:dyDescent="0.3">
      <c r="A251" s="4" t="s">
        <v>21</v>
      </c>
      <c r="B251" s="4" t="s">
        <v>33</v>
      </c>
      <c r="C251" s="4" t="s">
        <v>23</v>
      </c>
      <c r="D251" s="4" t="s">
        <v>34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44470</v>
      </c>
      <c r="J251" s="6">
        <v>0</v>
      </c>
      <c r="K251" s="6">
        <v>0</v>
      </c>
      <c r="L251" s="6">
        <v>12.571</v>
      </c>
      <c r="M251" s="6">
        <v>12.571</v>
      </c>
      <c r="N251" s="6">
        <v>12.571</v>
      </c>
      <c r="O251" s="6">
        <v>12.571</v>
      </c>
      <c r="P251" s="6">
        <v>3</v>
      </c>
      <c r="Q251" s="4" t="s">
        <v>26</v>
      </c>
      <c r="R251" s="4">
        <v>0</v>
      </c>
      <c r="S251" s="6">
        <v>0</v>
      </c>
      <c r="T251" s="6">
        <v>55</v>
      </c>
      <c r="U251" s="6">
        <v>6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823.74</v>
      </c>
      <c r="X251" s="6">
        <f>IF(ISERROR(VLOOKUP($U$251,'TAR FIN'!$A$1:$O$85,15,0)),0,VLOOKUP($U$251,'TAR FIN'!$A$1:$O$85,15,0))</f>
        <v>201.73</v>
      </c>
      <c r="Y251" s="6"/>
      <c r="Z251" s="6">
        <f ca="1">('TUSD BE'!$AM$48+'TUSD BF'!$AM$48+'TUSD CVA'!$AM$48)*1</f>
        <v>1046.4709656688399</v>
      </c>
      <c r="AA251" s="6">
        <f>('TE BE'!$AA$38+'TE BF'!$AA$38+'TE CVA'!$AA$38)*1</f>
        <v>225.7947898398177</v>
      </c>
      <c r="AB251" s="6">
        <f>$K$251*$V$251</f>
        <v>0</v>
      </c>
      <c r="AC251" s="6">
        <f>$M$251*$W$251</f>
        <v>10355.23554</v>
      </c>
      <c r="AD251" s="6">
        <f>$O$251*$X$251</f>
        <v>2535.9478299999996</v>
      </c>
      <c r="AE251" s="6">
        <f>$K$251*$Y$251</f>
        <v>0</v>
      </c>
      <c r="AF251" s="6">
        <f ca="1">$M$251*$Z$251</f>
        <v>13155.186509422985</v>
      </c>
      <c r="AG251" s="6">
        <f>$O$251*$AA$251</f>
        <v>2838.4663030763481</v>
      </c>
    </row>
    <row r="252" spans="1:33" ht="11.25" customHeight="1" x14ac:dyDescent="0.3">
      <c r="A252" s="4" t="s">
        <v>28</v>
      </c>
      <c r="B252" s="4" t="s">
        <v>33</v>
      </c>
      <c r="C252" s="4" t="s">
        <v>23</v>
      </c>
      <c r="D252" s="4" t="s">
        <v>34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44470</v>
      </c>
      <c r="J252" s="6">
        <v>0</v>
      </c>
      <c r="K252" s="6">
        <v>0</v>
      </c>
      <c r="L252" s="6">
        <v>1.429</v>
      </c>
      <c r="M252" s="6">
        <v>1.429</v>
      </c>
      <c r="N252" s="6">
        <v>1.429</v>
      </c>
      <c r="O252" s="6">
        <v>1.429</v>
      </c>
      <c r="P252" s="6">
        <v>1</v>
      </c>
      <c r="Q252" s="4" t="s">
        <v>26</v>
      </c>
      <c r="R252" s="4">
        <v>0</v>
      </c>
      <c r="S252" s="6">
        <v>0</v>
      </c>
      <c r="T252" s="6">
        <v>55</v>
      </c>
      <c r="U252" s="6">
        <v>6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823.74</v>
      </c>
      <c r="X252" s="6">
        <f>IF(ISERROR(VLOOKUP($U$252,'TAR FIN'!$A$1:$O$85,15,0)),0,VLOOKUP($U$252,'TAR FIN'!$A$1:$O$85,15,0))</f>
        <v>201.73</v>
      </c>
      <c r="Y252" s="6"/>
      <c r="Z252" s="6">
        <f ca="1">('TUSD BE'!$AM$48+'TUSD BF'!$AM$48+'TUSD CVA'!$AM$48)*1</f>
        <v>1046.4709656688399</v>
      </c>
      <c r="AA252" s="6">
        <f>('TE BE'!$AA$38+'TE BF'!$AA$38+'TE CVA'!$AA$38)*1</f>
        <v>225.7947898398177</v>
      </c>
      <c r="AB252" s="6">
        <f>$K$252*$V$252</f>
        <v>0</v>
      </c>
      <c r="AC252" s="6">
        <f>$M$252*$W$252</f>
        <v>1177.12446</v>
      </c>
      <c r="AD252" s="6">
        <f>$O$252*$X$252</f>
        <v>288.27217000000002</v>
      </c>
      <c r="AE252" s="6">
        <f>$K$252*$Y$252</f>
        <v>0</v>
      </c>
      <c r="AF252" s="6">
        <f ca="1">$M$252*$Z$252</f>
        <v>1495.4070099407722</v>
      </c>
      <c r="AG252" s="6">
        <f>$O$252*$AA$252</f>
        <v>322.66075468109949</v>
      </c>
    </row>
    <row r="253" spans="1:33" ht="11.25" customHeight="1" x14ac:dyDescent="0.3">
      <c r="A253" s="4" t="s">
        <v>21</v>
      </c>
      <c r="B253" s="4" t="s">
        <v>33</v>
      </c>
      <c r="C253" s="4" t="s">
        <v>23</v>
      </c>
      <c r="D253" s="4" t="s">
        <v>34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44501</v>
      </c>
      <c r="J253" s="6">
        <v>0</v>
      </c>
      <c r="K253" s="6">
        <v>0</v>
      </c>
      <c r="L253" s="6">
        <v>13.385999999999999</v>
      </c>
      <c r="M253" s="6">
        <v>13.385999999999999</v>
      </c>
      <c r="N253" s="6">
        <v>13.385999999999999</v>
      </c>
      <c r="O253" s="6">
        <v>13.385999999999999</v>
      </c>
      <c r="P253" s="6">
        <v>3</v>
      </c>
      <c r="Q253" s="4" t="s">
        <v>26</v>
      </c>
      <c r="R253" s="4">
        <v>0</v>
      </c>
      <c r="S253" s="6">
        <v>0</v>
      </c>
      <c r="T253" s="6">
        <v>55</v>
      </c>
      <c r="U253" s="6">
        <v>6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823.74</v>
      </c>
      <c r="X253" s="6">
        <f>IF(ISERROR(VLOOKUP($U$253,'TAR FIN'!$A$1:$O$85,15,0)),0,VLOOKUP($U$253,'TAR FIN'!$A$1:$O$85,15,0))</f>
        <v>201.73</v>
      </c>
      <c r="Y253" s="6"/>
      <c r="Z253" s="6">
        <f ca="1">('TUSD BE'!$AM$48+'TUSD BF'!$AM$48+'TUSD CVA'!$AM$48)*1</f>
        <v>1046.4709656688399</v>
      </c>
      <c r="AA253" s="6">
        <f>('TE BE'!$AA$38+'TE BF'!$AA$38+'TE CVA'!$AA$38)*1</f>
        <v>225.7947898398177</v>
      </c>
      <c r="AB253" s="6">
        <f>$K$253*$V$253</f>
        <v>0</v>
      </c>
      <c r="AC253" s="6">
        <f>$M$253*$W$253</f>
        <v>11026.583639999999</v>
      </c>
      <c r="AD253" s="6">
        <f>$O$253*$X$253</f>
        <v>2700.3577799999998</v>
      </c>
      <c r="AE253" s="6">
        <f>$K$253*$Y$253</f>
        <v>0</v>
      </c>
      <c r="AF253" s="6">
        <f ca="1">$M$253*$Z$253</f>
        <v>14008.06034644309</v>
      </c>
      <c r="AG253" s="6">
        <f>$O$253*$AA$253</f>
        <v>3022.4890567957996</v>
      </c>
    </row>
    <row r="254" spans="1:33" ht="11.25" customHeight="1" x14ac:dyDescent="0.3">
      <c r="A254" s="4" t="s">
        <v>28</v>
      </c>
      <c r="B254" s="4" t="s">
        <v>33</v>
      </c>
      <c r="C254" s="4" t="s">
        <v>23</v>
      </c>
      <c r="D254" s="4" t="s">
        <v>34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1.2529999999999999</v>
      </c>
      <c r="M254" s="6">
        <v>1.2529999999999999</v>
      </c>
      <c r="N254" s="6">
        <v>1.2529999999999999</v>
      </c>
      <c r="O254" s="6">
        <v>1.2529999999999999</v>
      </c>
      <c r="P254" s="6">
        <v>1</v>
      </c>
      <c r="Q254" s="4" t="s">
        <v>26</v>
      </c>
      <c r="R254" s="4">
        <v>0</v>
      </c>
      <c r="S254" s="6">
        <v>0</v>
      </c>
      <c r="T254" s="6">
        <v>55</v>
      </c>
      <c r="U254" s="6">
        <v>6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823.74</v>
      </c>
      <c r="X254" s="6">
        <f>IF(ISERROR(VLOOKUP($U$254,'TAR FIN'!$A$1:$O$85,15,0)),0,VLOOKUP($U$254,'TAR FIN'!$A$1:$O$85,15,0))</f>
        <v>201.73</v>
      </c>
      <c r="Y254" s="6"/>
      <c r="Z254" s="6">
        <f ca="1">('TUSD BE'!$AM$48+'TUSD BF'!$AM$48+'TUSD CVA'!$AM$48)*1</f>
        <v>1046.4709656688399</v>
      </c>
      <c r="AA254" s="6">
        <f>('TE BE'!$AA$38+'TE BF'!$AA$38+'TE CVA'!$AA$38)*1</f>
        <v>225.7947898398177</v>
      </c>
      <c r="AB254" s="6">
        <f>$K$254*$V$254</f>
        <v>0</v>
      </c>
      <c r="AC254" s="6">
        <f>$M$254*$W$254</f>
        <v>1032.1462199999999</v>
      </c>
      <c r="AD254" s="6">
        <f>$O$254*$X$254</f>
        <v>252.76768999999996</v>
      </c>
      <c r="AE254" s="6">
        <f>$K$254*$Y$254</f>
        <v>0</v>
      </c>
      <c r="AF254" s="6">
        <f ca="1">$M$254*$Z$254</f>
        <v>1311.2281199830563</v>
      </c>
      <c r="AG254" s="6">
        <f>$O$254*$AA$254</f>
        <v>282.92087166929156</v>
      </c>
    </row>
    <row r="255" spans="1:33" ht="11.25" customHeight="1" x14ac:dyDescent="0.3">
      <c r="A255" s="4" t="s">
        <v>21</v>
      </c>
      <c r="B255" s="4" t="s">
        <v>33</v>
      </c>
      <c r="C255" s="4" t="s">
        <v>23</v>
      </c>
      <c r="D255" s="4" t="s">
        <v>34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13.257999999999999</v>
      </c>
      <c r="M255" s="6">
        <v>13.257999999999999</v>
      </c>
      <c r="N255" s="6">
        <v>13.257999999999999</v>
      </c>
      <c r="O255" s="6">
        <v>13.257999999999999</v>
      </c>
      <c r="P255" s="6">
        <v>3</v>
      </c>
      <c r="Q255" s="4" t="s">
        <v>26</v>
      </c>
      <c r="R255" s="4">
        <v>0</v>
      </c>
      <c r="S255" s="6">
        <v>0</v>
      </c>
      <c r="T255" s="6">
        <v>55</v>
      </c>
      <c r="U255" s="6">
        <v>6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823.74</v>
      </c>
      <c r="X255" s="6">
        <f>IF(ISERROR(VLOOKUP($U$255,'TAR FIN'!$A$1:$O$85,15,0)),0,VLOOKUP($U$255,'TAR FIN'!$A$1:$O$85,15,0))</f>
        <v>201.73</v>
      </c>
      <c r="Y255" s="6"/>
      <c r="Z255" s="6">
        <f ca="1">('TUSD BE'!$AM$48+'TUSD BF'!$AM$48+'TUSD CVA'!$AM$48)*1</f>
        <v>1046.4709656688399</v>
      </c>
      <c r="AA255" s="6">
        <f>('TE BE'!$AA$38+'TE BF'!$AA$38+'TE CVA'!$AA$38)*1</f>
        <v>225.7947898398177</v>
      </c>
      <c r="AB255" s="6">
        <f>$K$255*$V$255</f>
        <v>0</v>
      </c>
      <c r="AC255" s="6">
        <f>$M$255*$W$255</f>
        <v>10921.144919999999</v>
      </c>
      <c r="AD255" s="6">
        <f>$O$255*$X$255</f>
        <v>2674.5363399999997</v>
      </c>
      <c r="AE255" s="6">
        <f>$K$255*$Y$255</f>
        <v>0</v>
      </c>
      <c r="AF255" s="6">
        <f ca="1">$M$255*$Z$255</f>
        <v>13874.112062837477</v>
      </c>
      <c r="AG255" s="6">
        <f>$O$255*$AA$255</f>
        <v>2993.587323696303</v>
      </c>
    </row>
    <row r="256" spans="1:33" ht="11.25" customHeight="1" x14ac:dyDescent="0.3">
      <c r="A256" s="4" t="s">
        <v>28</v>
      </c>
      <c r="B256" s="4" t="s">
        <v>33</v>
      </c>
      <c r="C256" s="4" t="s">
        <v>23</v>
      </c>
      <c r="D256" s="4" t="s">
        <v>34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44531</v>
      </c>
      <c r="J256" s="6">
        <v>0</v>
      </c>
      <c r="K256" s="6">
        <v>0</v>
      </c>
      <c r="L256" s="6">
        <v>1.0860000000000001</v>
      </c>
      <c r="M256" s="6">
        <v>1.0860000000000001</v>
      </c>
      <c r="N256" s="6">
        <v>1.0860000000000001</v>
      </c>
      <c r="O256" s="6">
        <v>1.0860000000000001</v>
      </c>
      <c r="P256" s="6">
        <v>1</v>
      </c>
      <c r="Q256" s="4" t="s">
        <v>26</v>
      </c>
      <c r="R256" s="4">
        <v>0</v>
      </c>
      <c r="S256" s="6">
        <v>0</v>
      </c>
      <c r="T256" s="6">
        <v>55</v>
      </c>
      <c r="U256" s="6">
        <v>6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823.74</v>
      </c>
      <c r="X256" s="6">
        <f>IF(ISERROR(VLOOKUP($U$256,'TAR FIN'!$A$1:$O$85,15,0)),0,VLOOKUP($U$256,'TAR FIN'!$A$1:$O$85,15,0))</f>
        <v>201.73</v>
      </c>
      <c r="Y256" s="6"/>
      <c r="Z256" s="6">
        <f ca="1">('TUSD BE'!$AM$48+'TUSD BF'!$AM$48+'TUSD CVA'!$AM$48)*1</f>
        <v>1046.4709656688399</v>
      </c>
      <c r="AA256" s="6">
        <f>('TE BE'!$AA$38+'TE BF'!$AA$38+'TE CVA'!$AA$38)*1</f>
        <v>225.7947898398177</v>
      </c>
      <c r="AB256" s="6">
        <f>$K$256*$V$256</f>
        <v>0</v>
      </c>
      <c r="AC256" s="6">
        <f>$M$256*$W$256</f>
        <v>894.58164000000011</v>
      </c>
      <c r="AD256" s="6">
        <f>$O$256*$X$256</f>
        <v>219.07877999999999</v>
      </c>
      <c r="AE256" s="6">
        <f>$K$256*$Y$256</f>
        <v>0</v>
      </c>
      <c r="AF256" s="6">
        <f ca="1">$M$256*$Z$256</f>
        <v>1136.4674687163601</v>
      </c>
      <c r="AG256" s="6">
        <f>$O$256*$AA$256</f>
        <v>245.21314176604204</v>
      </c>
    </row>
    <row r="257" spans="1:33" ht="11.25" customHeight="1" x14ac:dyDescent="0.3">
      <c r="A257" s="4" t="s">
        <v>21</v>
      </c>
      <c r="B257" s="4" t="s">
        <v>33</v>
      </c>
      <c r="C257" s="4" t="s">
        <v>23</v>
      </c>
      <c r="D257" s="4" t="s">
        <v>34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44562</v>
      </c>
      <c r="J257" s="6">
        <v>0</v>
      </c>
      <c r="K257" s="6">
        <v>0</v>
      </c>
      <c r="L257" s="6">
        <v>13.843</v>
      </c>
      <c r="M257" s="6">
        <v>13.843</v>
      </c>
      <c r="N257" s="6">
        <v>13.843</v>
      </c>
      <c r="O257" s="6">
        <v>13.843</v>
      </c>
      <c r="P257" s="6">
        <v>3</v>
      </c>
      <c r="Q257" s="4" t="s">
        <v>26</v>
      </c>
      <c r="R257" s="4">
        <v>0</v>
      </c>
      <c r="S257" s="6">
        <v>0</v>
      </c>
      <c r="T257" s="6">
        <v>55</v>
      </c>
      <c r="U257" s="6">
        <v>6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823.74</v>
      </c>
      <c r="X257" s="6">
        <f>IF(ISERROR(VLOOKUP($U$257,'TAR FIN'!$A$1:$O$85,15,0)),0,VLOOKUP($U$257,'TAR FIN'!$A$1:$O$85,15,0))</f>
        <v>201.73</v>
      </c>
      <c r="Y257" s="6"/>
      <c r="Z257" s="6">
        <f ca="1">('TUSD BE'!$AM$48+'TUSD BF'!$AM$48+'TUSD CVA'!$AM$48)*1</f>
        <v>1046.4709656688399</v>
      </c>
      <c r="AA257" s="6">
        <f>('TE BE'!$AA$38+'TE BF'!$AA$38+'TE CVA'!$AA$38)*1</f>
        <v>225.7947898398177</v>
      </c>
      <c r="AB257" s="6">
        <f>$K$257*$V$257</f>
        <v>0</v>
      </c>
      <c r="AC257" s="6">
        <f>$M$257*$W$257</f>
        <v>11403.03282</v>
      </c>
      <c r="AD257" s="6">
        <f>$O$257*$X$257</f>
        <v>2792.5483899999999</v>
      </c>
      <c r="AE257" s="6">
        <f>$K$257*$Y$257</f>
        <v>0</v>
      </c>
      <c r="AF257" s="6">
        <f ca="1">$M$257*$Z$257</f>
        <v>14486.29757775375</v>
      </c>
      <c r="AG257" s="6">
        <f>$O$257*$AA$257</f>
        <v>3125.6772757525964</v>
      </c>
    </row>
    <row r="258" spans="1:33" ht="11.25" customHeight="1" x14ac:dyDescent="0.3">
      <c r="A258" s="4" t="s">
        <v>28</v>
      </c>
      <c r="B258" s="4" t="s">
        <v>33</v>
      </c>
      <c r="C258" s="4" t="s">
        <v>23</v>
      </c>
      <c r="D258" s="4" t="s">
        <v>34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44562</v>
      </c>
      <c r="J258" s="6">
        <v>0</v>
      </c>
      <c r="K258" s="6">
        <v>0</v>
      </c>
      <c r="L258" s="6">
        <v>2.2919999999999998</v>
      </c>
      <c r="M258" s="6">
        <v>2.2919999999999998</v>
      </c>
      <c r="N258" s="6">
        <v>2.2919999999999998</v>
      </c>
      <c r="O258" s="6">
        <v>2.2919999999999998</v>
      </c>
      <c r="P258" s="6">
        <v>1</v>
      </c>
      <c r="Q258" s="4" t="s">
        <v>26</v>
      </c>
      <c r="R258" s="4">
        <v>0</v>
      </c>
      <c r="S258" s="6">
        <v>0</v>
      </c>
      <c r="T258" s="6">
        <v>55</v>
      </c>
      <c r="U258" s="6">
        <v>6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823.74</v>
      </c>
      <c r="X258" s="6">
        <f>IF(ISERROR(VLOOKUP($U$258,'TAR FIN'!$A$1:$O$85,15,0)),0,VLOOKUP($U$258,'TAR FIN'!$A$1:$O$85,15,0))</f>
        <v>201.73</v>
      </c>
      <c r="Y258" s="6"/>
      <c r="Z258" s="6">
        <f ca="1">('TUSD BE'!$AM$48+'TUSD BF'!$AM$48+'TUSD CVA'!$AM$48)*1</f>
        <v>1046.4709656688399</v>
      </c>
      <c r="AA258" s="6">
        <f>('TE BE'!$AA$38+'TE BF'!$AA$38+'TE CVA'!$AA$38)*1</f>
        <v>225.7947898398177</v>
      </c>
      <c r="AB258" s="6">
        <f>$K$258*$V$258</f>
        <v>0</v>
      </c>
      <c r="AC258" s="6">
        <f>$M$258*$W$258</f>
        <v>1888.01208</v>
      </c>
      <c r="AD258" s="6">
        <f>$O$258*$X$258</f>
        <v>462.36515999999995</v>
      </c>
      <c r="AE258" s="6">
        <f>$K$258*$Y$258</f>
        <v>0</v>
      </c>
      <c r="AF258" s="6">
        <f ca="1">$M$258*$Z$258</f>
        <v>2398.5114533129808</v>
      </c>
      <c r="AG258" s="6">
        <f>$O$258*$AA$258</f>
        <v>517.52165831286209</v>
      </c>
    </row>
    <row r="259" spans="1:33" ht="11.25" customHeight="1" x14ac:dyDescent="0.3">
      <c r="A259" s="4" t="s">
        <v>21</v>
      </c>
      <c r="B259" s="4" t="s">
        <v>33</v>
      </c>
      <c r="C259" s="4" t="s">
        <v>23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44593</v>
      </c>
      <c r="J259" s="6">
        <v>0</v>
      </c>
      <c r="K259" s="6">
        <v>0</v>
      </c>
      <c r="L259" s="6">
        <v>15.983000000000001</v>
      </c>
      <c r="M259" s="6">
        <v>15.983000000000001</v>
      </c>
      <c r="N259" s="6">
        <v>15.983000000000001</v>
      </c>
      <c r="O259" s="6">
        <v>15.983000000000001</v>
      </c>
      <c r="P259" s="6">
        <v>3</v>
      </c>
      <c r="Q259" s="4" t="s">
        <v>26</v>
      </c>
      <c r="R259" s="4">
        <v>0</v>
      </c>
      <c r="S259" s="6">
        <v>0</v>
      </c>
      <c r="T259" s="6">
        <v>55</v>
      </c>
      <c r="U259" s="6">
        <v>6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823.74</v>
      </c>
      <c r="X259" s="6">
        <f>IF(ISERROR(VLOOKUP($U$259,'TAR FIN'!$A$1:$O$85,15,0)),0,VLOOKUP($U$259,'TAR FIN'!$A$1:$O$85,15,0))</f>
        <v>201.73</v>
      </c>
      <c r="Y259" s="6"/>
      <c r="Z259" s="6">
        <f ca="1">('TUSD BE'!$AM$48+'TUSD BF'!$AM$48+'TUSD CVA'!$AM$48)*1</f>
        <v>1046.4709656688399</v>
      </c>
      <c r="AA259" s="6">
        <f>('TE BE'!$AA$38+'TE BF'!$AA$38+'TE CVA'!$AA$38)*1</f>
        <v>225.7947898398177</v>
      </c>
      <c r="AB259" s="6">
        <f>$K$259*$V$259</f>
        <v>0</v>
      </c>
      <c r="AC259" s="6">
        <f>$M$259*$W$259</f>
        <v>13165.836420000001</v>
      </c>
      <c r="AD259" s="6">
        <f>$O$259*$X$259</f>
        <v>3224.2505900000001</v>
      </c>
      <c r="AE259" s="6">
        <f>$K$259*$Y$259</f>
        <v>0</v>
      </c>
      <c r="AF259" s="6">
        <f ca="1">$M$259*$Z$259</f>
        <v>16725.745444285069</v>
      </c>
      <c r="AG259" s="6">
        <f>$O$259*$AA$259</f>
        <v>3608.8781260098062</v>
      </c>
    </row>
    <row r="260" spans="1:33" ht="11.25" customHeight="1" x14ac:dyDescent="0.3">
      <c r="A260" s="4" t="s">
        <v>28</v>
      </c>
      <c r="B260" s="4" t="s">
        <v>33</v>
      </c>
      <c r="C260" s="4" t="s">
        <v>23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44593</v>
      </c>
      <c r="J260" s="6">
        <v>0</v>
      </c>
      <c r="K260" s="6">
        <v>0</v>
      </c>
      <c r="L260" s="6">
        <v>0.56799999999999995</v>
      </c>
      <c r="M260" s="6">
        <v>0.56799999999999995</v>
      </c>
      <c r="N260" s="6">
        <v>0.56799999999999995</v>
      </c>
      <c r="O260" s="6">
        <v>0.56799999999999995</v>
      </c>
      <c r="P260" s="6">
        <v>1</v>
      </c>
      <c r="Q260" s="4" t="s">
        <v>26</v>
      </c>
      <c r="R260" s="4">
        <v>0</v>
      </c>
      <c r="S260" s="6">
        <v>0</v>
      </c>
      <c r="T260" s="6">
        <v>55</v>
      </c>
      <c r="U260" s="6">
        <v>6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823.74</v>
      </c>
      <c r="X260" s="6">
        <f>IF(ISERROR(VLOOKUP($U$260,'TAR FIN'!$A$1:$O$85,15,0)),0,VLOOKUP($U$260,'TAR FIN'!$A$1:$O$85,15,0))</f>
        <v>201.73</v>
      </c>
      <c r="Y260" s="6"/>
      <c r="Z260" s="6">
        <f ca="1">('TUSD BE'!$AM$48+'TUSD BF'!$AM$48+'TUSD CVA'!$AM$48)*1</f>
        <v>1046.4709656688399</v>
      </c>
      <c r="AA260" s="6">
        <f>('TE BE'!$AA$38+'TE BF'!$AA$38+'TE CVA'!$AA$38)*1</f>
        <v>225.7947898398177</v>
      </c>
      <c r="AB260" s="6">
        <f>$K$260*$V$260</f>
        <v>0</v>
      </c>
      <c r="AC260" s="6">
        <f>$M$260*$W$260</f>
        <v>467.88431999999995</v>
      </c>
      <c r="AD260" s="6">
        <f>$O$260*$X$260</f>
        <v>114.58263999999998</v>
      </c>
      <c r="AE260" s="6">
        <f>$K$260*$Y$260</f>
        <v>0</v>
      </c>
      <c r="AF260" s="6">
        <f ca="1">$M$260*$Z$260</f>
        <v>594.39550849990098</v>
      </c>
      <c r="AG260" s="6">
        <f>$O$260*$AA$260</f>
        <v>128.25144062901643</v>
      </c>
    </row>
    <row r="261" spans="1:33" ht="11.25" customHeight="1" x14ac:dyDescent="0.3">
      <c r="A261" s="4" t="s">
        <v>21</v>
      </c>
      <c r="B261" s="4" t="s">
        <v>33</v>
      </c>
      <c r="C261" s="4" t="s">
        <v>23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44621</v>
      </c>
      <c r="J261" s="6">
        <v>0</v>
      </c>
      <c r="K261" s="6">
        <v>0</v>
      </c>
      <c r="L261" s="6">
        <v>14.034000000000001</v>
      </c>
      <c r="M261" s="6">
        <v>14.034000000000001</v>
      </c>
      <c r="N261" s="6">
        <v>14.034000000000001</v>
      </c>
      <c r="O261" s="6">
        <v>14.034000000000001</v>
      </c>
      <c r="P261" s="6">
        <v>3</v>
      </c>
      <c r="Q261" s="4" t="s">
        <v>26</v>
      </c>
      <c r="R261" s="4">
        <v>0</v>
      </c>
      <c r="S261" s="6">
        <v>0</v>
      </c>
      <c r="T261" s="6">
        <v>55</v>
      </c>
      <c r="U261" s="6">
        <v>6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823.74</v>
      </c>
      <c r="X261" s="6">
        <f>IF(ISERROR(VLOOKUP($U$261,'TAR FIN'!$A$1:$O$85,15,0)),0,VLOOKUP($U$261,'TAR FIN'!$A$1:$O$85,15,0))</f>
        <v>201.73</v>
      </c>
      <c r="Y261" s="6"/>
      <c r="Z261" s="6">
        <f ca="1">('TUSD BE'!$AM$48+'TUSD BF'!$AM$48+'TUSD CVA'!$AM$48)*1</f>
        <v>1046.4709656688399</v>
      </c>
      <c r="AA261" s="6">
        <f>('TE BE'!$AA$38+'TE BF'!$AA$38+'TE CVA'!$AA$38)*1</f>
        <v>225.7947898398177</v>
      </c>
      <c r="AB261" s="6">
        <f>$K$261*$V$261</f>
        <v>0</v>
      </c>
      <c r="AC261" s="6">
        <f>$M$261*$W$261</f>
        <v>11560.367160000002</v>
      </c>
      <c r="AD261" s="6">
        <f>$O$261*$X$261</f>
        <v>2831.0788200000002</v>
      </c>
      <c r="AE261" s="6">
        <f>$K$261*$Y$261</f>
        <v>0</v>
      </c>
      <c r="AF261" s="6">
        <f ca="1">$M$261*$Z$261</f>
        <v>14686.173532196499</v>
      </c>
      <c r="AG261" s="6">
        <f>$O$261*$AA$261</f>
        <v>3168.8040806120016</v>
      </c>
    </row>
    <row r="262" spans="1:33" ht="11.25" customHeight="1" x14ac:dyDescent="0.3">
      <c r="A262" s="4" t="s">
        <v>28</v>
      </c>
      <c r="B262" s="4" t="s">
        <v>33</v>
      </c>
      <c r="C262" s="4" t="s">
        <v>23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0.1</v>
      </c>
      <c r="M262" s="6">
        <v>0.1</v>
      </c>
      <c r="N262" s="6">
        <v>0.1</v>
      </c>
      <c r="O262" s="6">
        <v>0.1</v>
      </c>
      <c r="P262" s="6">
        <v>1</v>
      </c>
      <c r="Q262" s="4" t="s">
        <v>26</v>
      </c>
      <c r="R262" s="4">
        <v>0</v>
      </c>
      <c r="S262" s="6">
        <v>0</v>
      </c>
      <c r="T262" s="6">
        <v>55</v>
      </c>
      <c r="U262" s="6">
        <v>6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823.74</v>
      </c>
      <c r="X262" s="6">
        <f>IF(ISERROR(VLOOKUP($U$262,'TAR FIN'!$A$1:$O$85,15,0)),0,VLOOKUP($U$262,'TAR FIN'!$A$1:$O$85,15,0))</f>
        <v>201.73</v>
      </c>
      <c r="Y262" s="6"/>
      <c r="Z262" s="6">
        <f ca="1">('TUSD BE'!$AM$48+'TUSD BF'!$AM$48+'TUSD CVA'!$AM$48)*1</f>
        <v>1046.4709656688399</v>
      </c>
      <c r="AA262" s="6">
        <f>('TE BE'!$AA$38+'TE BF'!$AA$38+'TE CVA'!$AA$38)*1</f>
        <v>225.7947898398177</v>
      </c>
      <c r="AB262" s="6">
        <f>$K$262*$V$262</f>
        <v>0</v>
      </c>
      <c r="AC262" s="6">
        <f>$M$262*$W$262</f>
        <v>82.374000000000009</v>
      </c>
      <c r="AD262" s="6">
        <f>$O$262*$X$262</f>
        <v>20.173000000000002</v>
      </c>
      <c r="AE262" s="6">
        <f>$K$262*$Y$262</f>
        <v>0</v>
      </c>
      <c r="AF262" s="6">
        <f ca="1">$M$262*$Z$262</f>
        <v>104.64709656688399</v>
      </c>
      <c r="AG262" s="6">
        <f>$O$262*$AA$262</f>
        <v>22.579478983981772</v>
      </c>
    </row>
    <row r="263" spans="1:33" ht="11.25" customHeight="1" x14ac:dyDescent="0.3">
      <c r="A263" s="4" t="s">
        <v>21</v>
      </c>
      <c r="B263" s="4" t="s">
        <v>33</v>
      </c>
      <c r="C263" s="4" t="s">
        <v>23</v>
      </c>
      <c r="D263" s="4" t="s">
        <v>42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44287</v>
      </c>
      <c r="J263" s="6">
        <v>0</v>
      </c>
      <c r="K263" s="6">
        <v>0</v>
      </c>
      <c r="L263" s="6">
        <v>6.6180000000000003</v>
      </c>
      <c r="M263" s="6">
        <v>6.6180000000000003</v>
      </c>
      <c r="N263" s="6">
        <v>6.6180000000000003</v>
      </c>
      <c r="O263" s="6">
        <v>6.6180000000000003</v>
      </c>
      <c r="P263" s="6">
        <v>18</v>
      </c>
      <c r="Q263" s="4" t="s">
        <v>26</v>
      </c>
      <c r="R263" s="4">
        <v>0</v>
      </c>
      <c r="S263" s="6">
        <v>0</v>
      </c>
      <c r="T263" s="6">
        <v>55</v>
      </c>
      <c r="U263" s="6">
        <v>6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823.74</v>
      </c>
      <c r="X263" s="6">
        <f>IF(ISERROR(VLOOKUP($U$263,'TAR FIN'!$A$1:$O$85,15,0)),0,VLOOKUP($U$263,'TAR FIN'!$A$1:$O$85,15,0))</f>
        <v>201.73</v>
      </c>
      <c r="Y263" s="6"/>
      <c r="Z263" s="6">
        <f ca="1">('TUSD BE'!$AM$48+'TUSD BF'!$AM$48+'TUSD CVA'!$AM$48)*1</f>
        <v>1046.4709656688399</v>
      </c>
      <c r="AA263" s="6">
        <f>('TE BE'!$AA$38+'TE BF'!$AA$38+'TE CVA'!$AA$38)*1</f>
        <v>225.7947898398177</v>
      </c>
      <c r="AB263" s="6">
        <f>$K$263*$V$263</f>
        <v>0</v>
      </c>
      <c r="AC263" s="6">
        <f>$M$263*$W$263</f>
        <v>5451.5113200000005</v>
      </c>
      <c r="AD263" s="6">
        <f>$O$263*$X$263</f>
        <v>1335.0491400000001</v>
      </c>
      <c r="AE263" s="6">
        <f>$K$263*$Y$263</f>
        <v>0</v>
      </c>
      <c r="AF263" s="6">
        <f ca="1">$M$263*$Z$263</f>
        <v>6925.5448507963829</v>
      </c>
      <c r="AG263" s="6">
        <f>$O$263*$AA$263</f>
        <v>1494.3099191599135</v>
      </c>
    </row>
    <row r="264" spans="1:33" ht="11.25" customHeight="1" x14ac:dyDescent="0.3">
      <c r="A264" s="4" t="s">
        <v>21</v>
      </c>
      <c r="B264" s="4" t="s">
        <v>33</v>
      </c>
      <c r="C264" s="4" t="s">
        <v>23</v>
      </c>
      <c r="D264" s="4" t="s">
        <v>42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44317</v>
      </c>
      <c r="J264" s="6">
        <v>0</v>
      </c>
      <c r="K264" s="6">
        <v>0</v>
      </c>
      <c r="L264" s="6">
        <v>5.3810000000000002</v>
      </c>
      <c r="M264" s="6">
        <v>5.3810000000000002</v>
      </c>
      <c r="N264" s="6">
        <v>5.3810000000000002</v>
      </c>
      <c r="O264" s="6">
        <v>5.3810000000000002</v>
      </c>
      <c r="P264" s="6">
        <v>18</v>
      </c>
      <c r="Q264" s="4" t="s">
        <v>26</v>
      </c>
      <c r="R264" s="4">
        <v>0</v>
      </c>
      <c r="S264" s="6">
        <v>0</v>
      </c>
      <c r="T264" s="6">
        <v>55</v>
      </c>
      <c r="U264" s="6">
        <v>6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823.74</v>
      </c>
      <c r="X264" s="6">
        <f>IF(ISERROR(VLOOKUP($U$264,'TAR FIN'!$A$1:$O$85,15,0)),0,VLOOKUP($U$264,'TAR FIN'!$A$1:$O$85,15,0))</f>
        <v>201.73</v>
      </c>
      <c r="Y264" s="6"/>
      <c r="Z264" s="6">
        <f ca="1">('TUSD BE'!$AM$48+'TUSD BF'!$AM$48+'TUSD CVA'!$AM$48)*1</f>
        <v>1046.4709656688399</v>
      </c>
      <c r="AA264" s="6">
        <f>('TE BE'!$AA$38+'TE BF'!$AA$38+'TE CVA'!$AA$38)*1</f>
        <v>225.7947898398177</v>
      </c>
      <c r="AB264" s="6">
        <f>$K$264*$V$264</f>
        <v>0</v>
      </c>
      <c r="AC264" s="6">
        <f>$M$264*$W$264</f>
        <v>4432.5449400000007</v>
      </c>
      <c r="AD264" s="6">
        <f>$O$264*$X$264</f>
        <v>1085.5091299999999</v>
      </c>
      <c r="AE264" s="6">
        <f>$K$264*$Y$264</f>
        <v>0</v>
      </c>
      <c r="AF264" s="6">
        <f ca="1">$M$264*$Z$264</f>
        <v>5631.0602662640276</v>
      </c>
      <c r="AG264" s="6">
        <f>$O$264*$AA$264</f>
        <v>1215.001764128059</v>
      </c>
    </row>
    <row r="265" spans="1:33" ht="11.25" customHeight="1" x14ac:dyDescent="0.3">
      <c r="A265" s="4" t="s">
        <v>21</v>
      </c>
      <c r="B265" s="4" t="s">
        <v>33</v>
      </c>
      <c r="C265" s="4" t="s">
        <v>23</v>
      </c>
      <c r="D265" s="4" t="s">
        <v>42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44348</v>
      </c>
      <c r="J265" s="6">
        <v>0</v>
      </c>
      <c r="K265" s="6">
        <v>0</v>
      </c>
      <c r="L265" s="6">
        <v>4.9690000000000003</v>
      </c>
      <c r="M265" s="6">
        <v>4.9690000000000003</v>
      </c>
      <c r="N265" s="6">
        <v>4.9690000000000003</v>
      </c>
      <c r="O265" s="6">
        <v>4.9690000000000003</v>
      </c>
      <c r="P265" s="6">
        <v>18</v>
      </c>
      <c r="Q265" s="4" t="s">
        <v>26</v>
      </c>
      <c r="R265" s="4">
        <v>0</v>
      </c>
      <c r="S265" s="6">
        <v>0</v>
      </c>
      <c r="T265" s="6">
        <v>55</v>
      </c>
      <c r="U265" s="6">
        <v>6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823.74</v>
      </c>
      <c r="X265" s="6">
        <f>IF(ISERROR(VLOOKUP($U$265,'TAR FIN'!$A$1:$O$85,15,0)),0,VLOOKUP($U$265,'TAR FIN'!$A$1:$O$85,15,0))</f>
        <v>201.73</v>
      </c>
      <c r="Y265" s="6"/>
      <c r="Z265" s="6">
        <f ca="1">('TUSD BE'!$AM$48+'TUSD BF'!$AM$48+'TUSD CVA'!$AM$48)*1</f>
        <v>1046.4709656688399</v>
      </c>
      <c r="AA265" s="6">
        <f>('TE BE'!$AA$38+'TE BF'!$AA$38+'TE CVA'!$AA$38)*1</f>
        <v>225.7947898398177</v>
      </c>
      <c r="AB265" s="6">
        <f>$K$265*$V$265</f>
        <v>0</v>
      </c>
      <c r="AC265" s="6">
        <f>$M$265*$W$265</f>
        <v>4093.1640600000005</v>
      </c>
      <c r="AD265" s="6">
        <f>$O$265*$X$265</f>
        <v>1002.39637</v>
      </c>
      <c r="AE265" s="6">
        <f>$K$265*$Y$265</f>
        <v>0</v>
      </c>
      <c r="AF265" s="6">
        <f ca="1">$M$265*$Z$265</f>
        <v>5199.9142284084655</v>
      </c>
      <c r="AG265" s="6">
        <f>$O$265*$AA$265</f>
        <v>1121.9743107140541</v>
      </c>
    </row>
    <row r="266" spans="1:33" ht="11.25" customHeight="1" x14ac:dyDescent="0.3">
      <c r="A266" s="4" t="s">
        <v>21</v>
      </c>
      <c r="B266" s="4" t="s">
        <v>33</v>
      </c>
      <c r="C266" s="4" t="s">
        <v>23</v>
      </c>
      <c r="D266" s="4" t="s">
        <v>42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44378</v>
      </c>
      <c r="J266" s="6">
        <v>0</v>
      </c>
      <c r="K266" s="6">
        <v>0</v>
      </c>
      <c r="L266" s="6">
        <v>4.7130000000000001</v>
      </c>
      <c r="M266" s="6">
        <v>4.7130000000000001</v>
      </c>
      <c r="N266" s="6">
        <v>4.7130000000000001</v>
      </c>
      <c r="O266" s="6">
        <v>4.7130000000000001</v>
      </c>
      <c r="P266" s="6">
        <v>18</v>
      </c>
      <c r="Q266" s="4" t="s">
        <v>26</v>
      </c>
      <c r="R266" s="4">
        <v>0</v>
      </c>
      <c r="S266" s="6">
        <v>0</v>
      </c>
      <c r="T266" s="6">
        <v>55</v>
      </c>
      <c r="U266" s="6">
        <v>6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823.74</v>
      </c>
      <c r="X266" s="6">
        <f>IF(ISERROR(VLOOKUP($U$266,'TAR FIN'!$A$1:$O$85,15,0)),0,VLOOKUP($U$266,'TAR FIN'!$A$1:$O$85,15,0))</f>
        <v>201.73</v>
      </c>
      <c r="Y266" s="6"/>
      <c r="Z266" s="6">
        <f ca="1">('TUSD BE'!$AM$48+'TUSD BF'!$AM$48+'TUSD CVA'!$AM$48)*1</f>
        <v>1046.4709656688399</v>
      </c>
      <c r="AA266" s="6">
        <f>('TE BE'!$AA$38+'TE BF'!$AA$38+'TE CVA'!$AA$38)*1</f>
        <v>225.7947898398177</v>
      </c>
      <c r="AB266" s="6">
        <f>$K$266*$V$266</f>
        <v>0</v>
      </c>
      <c r="AC266" s="6">
        <f>$M$266*$W$266</f>
        <v>3882.2866200000003</v>
      </c>
      <c r="AD266" s="6">
        <f>$O$266*$X$266</f>
        <v>950.75348999999994</v>
      </c>
      <c r="AE266" s="6">
        <f>$K$266*$Y$266</f>
        <v>0</v>
      </c>
      <c r="AF266" s="6">
        <f ca="1">$M$266*$Z$266</f>
        <v>4932.0176611972429</v>
      </c>
      <c r="AG266" s="6">
        <f>$O$266*$AA$266</f>
        <v>1064.1708445150607</v>
      </c>
    </row>
    <row r="267" spans="1:33" ht="11.25" customHeight="1" x14ac:dyDescent="0.3">
      <c r="A267" s="4" t="s">
        <v>21</v>
      </c>
      <c r="B267" s="4" t="s">
        <v>33</v>
      </c>
      <c r="C267" s="4" t="s">
        <v>23</v>
      </c>
      <c r="D267" s="4" t="s">
        <v>42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44409</v>
      </c>
      <c r="J267" s="6">
        <v>0</v>
      </c>
      <c r="K267" s="6">
        <v>0</v>
      </c>
      <c r="L267" s="6">
        <v>5.5209999999999999</v>
      </c>
      <c r="M267" s="6">
        <v>5.5209999999999999</v>
      </c>
      <c r="N267" s="6">
        <v>5.5209999999999999</v>
      </c>
      <c r="O267" s="6">
        <v>5.5209999999999999</v>
      </c>
      <c r="P267" s="6">
        <v>18</v>
      </c>
      <c r="Q267" s="4" t="s">
        <v>26</v>
      </c>
      <c r="R267" s="4">
        <v>0</v>
      </c>
      <c r="S267" s="6">
        <v>0</v>
      </c>
      <c r="T267" s="6">
        <v>55</v>
      </c>
      <c r="U267" s="6">
        <v>6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823.74</v>
      </c>
      <c r="X267" s="6">
        <f>IF(ISERROR(VLOOKUP($U$267,'TAR FIN'!$A$1:$O$85,15,0)),0,VLOOKUP($U$267,'TAR FIN'!$A$1:$O$85,15,0))</f>
        <v>201.73</v>
      </c>
      <c r="Y267" s="6"/>
      <c r="Z267" s="6">
        <f ca="1">('TUSD BE'!$AM$48+'TUSD BF'!$AM$48+'TUSD CVA'!$AM$48)*1</f>
        <v>1046.4709656688399</v>
      </c>
      <c r="AA267" s="6">
        <f>('TE BE'!$AA$38+'TE BF'!$AA$38+'TE CVA'!$AA$38)*1</f>
        <v>225.7947898398177</v>
      </c>
      <c r="AB267" s="6">
        <f>$K$267*$V$267</f>
        <v>0</v>
      </c>
      <c r="AC267" s="6">
        <f>$M$267*$W$267</f>
        <v>4547.8685400000004</v>
      </c>
      <c r="AD267" s="6">
        <f>$O$267*$X$267</f>
        <v>1113.7513299999998</v>
      </c>
      <c r="AE267" s="6">
        <f>$K$267*$Y$267</f>
        <v>0</v>
      </c>
      <c r="AF267" s="6">
        <f ca="1">$M$267*$Z$267</f>
        <v>5777.5662014576646</v>
      </c>
      <c r="AG267" s="6">
        <f>$O$267*$AA$267</f>
        <v>1246.6130347056335</v>
      </c>
    </row>
    <row r="268" spans="1:33" ht="11.25" customHeight="1" x14ac:dyDescent="0.3">
      <c r="A268" s="4" t="s">
        <v>21</v>
      </c>
      <c r="B268" s="4" t="s">
        <v>33</v>
      </c>
      <c r="C268" s="4" t="s">
        <v>23</v>
      </c>
      <c r="D268" s="4" t="s">
        <v>42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44440</v>
      </c>
      <c r="J268" s="6">
        <v>0</v>
      </c>
      <c r="K268" s="6">
        <v>0</v>
      </c>
      <c r="L268" s="6">
        <v>8.282</v>
      </c>
      <c r="M268" s="6">
        <v>8.282</v>
      </c>
      <c r="N268" s="6">
        <v>8.282</v>
      </c>
      <c r="O268" s="6">
        <v>8.282</v>
      </c>
      <c r="P268" s="6">
        <v>18</v>
      </c>
      <c r="Q268" s="4" t="s">
        <v>26</v>
      </c>
      <c r="R268" s="4">
        <v>0</v>
      </c>
      <c r="S268" s="6">
        <v>0</v>
      </c>
      <c r="T268" s="6">
        <v>55</v>
      </c>
      <c r="U268" s="6">
        <v>6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823.74</v>
      </c>
      <c r="X268" s="6">
        <f>IF(ISERROR(VLOOKUP($U$268,'TAR FIN'!$A$1:$O$85,15,0)),0,VLOOKUP($U$268,'TAR FIN'!$A$1:$O$85,15,0))</f>
        <v>201.73</v>
      </c>
      <c r="Y268" s="6"/>
      <c r="Z268" s="6">
        <f ca="1">('TUSD BE'!$AM$48+'TUSD BF'!$AM$48+'TUSD CVA'!$AM$48)*1</f>
        <v>1046.4709656688399</v>
      </c>
      <c r="AA268" s="6">
        <f>('TE BE'!$AA$38+'TE BF'!$AA$38+'TE CVA'!$AA$38)*1</f>
        <v>225.7947898398177</v>
      </c>
      <c r="AB268" s="6">
        <f>$K$268*$V$268</f>
        <v>0</v>
      </c>
      <c r="AC268" s="6">
        <f>$M$268*$W$268</f>
        <v>6822.21468</v>
      </c>
      <c r="AD268" s="6">
        <f>$O$268*$X$268</f>
        <v>1670.72786</v>
      </c>
      <c r="AE268" s="6">
        <f>$K$268*$Y$268</f>
        <v>0</v>
      </c>
      <c r="AF268" s="6">
        <f ca="1">$M$268*$Z$268</f>
        <v>8666.8725376693328</v>
      </c>
      <c r="AG268" s="6">
        <f>$O$268*$AA$268</f>
        <v>1870.0324494533702</v>
      </c>
    </row>
    <row r="269" spans="1:33" ht="11.25" customHeight="1" x14ac:dyDescent="0.3">
      <c r="A269" s="4" t="s">
        <v>21</v>
      </c>
      <c r="B269" s="4" t="s">
        <v>33</v>
      </c>
      <c r="C269" s="4" t="s">
        <v>23</v>
      </c>
      <c r="D269" s="4" t="s">
        <v>42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44470</v>
      </c>
      <c r="J269" s="6">
        <v>0</v>
      </c>
      <c r="K269" s="6">
        <v>0</v>
      </c>
      <c r="L269" s="6">
        <v>9.2070000000000007</v>
      </c>
      <c r="M269" s="6">
        <v>9.2070000000000007</v>
      </c>
      <c r="N269" s="6">
        <v>9.2070000000000007</v>
      </c>
      <c r="O269" s="6">
        <v>9.2070000000000007</v>
      </c>
      <c r="P269" s="6">
        <v>18</v>
      </c>
      <c r="Q269" s="4" t="s">
        <v>26</v>
      </c>
      <c r="R269" s="4">
        <v>0</v>
      </c>
      <c r="S269" s="6">
        <v>0</v>
      </c>
      <c r="T269" s="6">
        <v>55</v>
      </c>
      <c r="U269" s="6">
        <v>6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823.74</v>
      </c>
      <c r="X269" s="6">
        <f>IF(ISERROR(VLOOKUP($U$269,'TAR FIN'!$A$1:$O$85,15,0)),0,VLOOKUP($U$269,'TAR FIN'!$A$1:$O$85,15,0))</f>
        <v>201.73</v>
      </c>
      <c r="Y269" s="6"/>
      <c r="Z269" s="6">
        <f ca="1">('TUSD BE'!$AM$48+'TUSD BF'!$AM$48+'TUSD CVA'!$AM$48)*1</f>
        <v>1046.4709656688399</v>
      </c>
      <c r="AA269" s="6">
        <f>('TE BE'!$AA$38+'TE BF'!$AA$38+'TE CVA'!$AA$38)*1</f>
        <v>225.7947898398177</v>
      </c>
      <c r="AB269" s="6">
        <f>$K$269*$V$269</f>
        <v>0</v>
      </c>
      <c r="AC269" s="6">
        <f>$M$269*$W$269</f>
        <v>7584.1741800000009</v>
      </c>
      <c r="AD269" s="6">
        <f>$O$269*$X$269</f>
        <v>1857.3281100000002</v>
      </c>
      <c r="AE269" s="6">
        <f>$K$269*$Y$269</f>
        <v>0</v>
      </c>
      <c r="AF269" s="6">
        <f ca="1">$M$269*$Z$269</f>
        <v>9634.8581809130101</v>
      </c>
      <c r="AG269" s="6">
        <f>$O$269*$AA$269</f>
        <v>2078.8926300552016</v>
      </c>
    </row>
    <row r="270" spans="1:33" ht="11.25" customHeight="1" x14ac:dyDescent="0.3">
      <c r="A270" s="4" t="s">
        <v>21</v>
      </c>
      <c r="B270" s="4" t="s">
        <v>33</v>
      </c>
      <c r="C270" s="4" t="s">
        <v>23</v>
      </c>
      <c r="D270" s="4" t="s">
        <v>42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44501</v>
      </c>
      <c r="J270" s="6">
        <v>0</v>
      </c>
      <c r="K270" s="6">
        <v>0</v>
      </c>
      <c r="L270" s="6">
        <v>8.4969999999999999</v>
      </c>
      <c r="M270" s="6">
        <v>8.4969999999999999</v>
      </c>
      <c r="N270" s="6">
        <v>8.4969999999999999</v>
      </c>
      <c r="O270" s="6">
        <v>8.4969999999999999</v>
      </c>
      <c r="P270" s="6">
        <v>18</v>
      </c>
      <c r="Q270" s="4" t="s">
        <v>26</v>
      </c>
      <c r="R270" s="4">
        <v>0</v>
      </c>
      <c r="S270" s="6">
        <v>0</v>
      </c>
      <c r="T270" s="6">
        <v>55</v>
      </c>
      <c r="U270" s="6">
        <v>6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823.74</v>
      </c>
      <c r="X270" s="6">
        <f>IF(ISERROR(VLOOKUP($U$270,'TAR FIN'!$A$1:$O$85,15,0)),0,VLOOKUP($U$270,'TAR FIN'!$A$1:$O$85,15,0))</f>
        <v>201.73</v>
      </c>
      <c r="Y270" s="6"/>
      <c r="Z270" s="6">
        <f ca="1">('TUSD BE'!$AM$48+'TUSD BF'!$AM$48+'TUSD CVA'!$AM$48)*1</f>
        <v>1046.4709656688399</v>
      </c>
      <c r="AA270" s="6">
        <f>('TE BE'!$AA$38+'TE BF'!$AA$38+'TE CVA'!$AA$38)*1</f>
        <v>225.7947898398177</v>
      </c>
      <c r="AB270" s="6">
        <f>$K$270*$V$270</f>
        <v>0</v>
      </c>
      <c r="AC270" s="6">
        <f>$M$270*$W$270</f>
        <v>6999.3187799999996</v>
      </c>
      <c r="AD270" s="6">
        <f>$O$270*$X$270</f>
        <v>1714.0998099999999</v>
      </c>
      <c r="AE270" s="6">
        <f>$K$270*$Y$270</f>
        <v>0</v>
      </c>
      <c r="AF270" s="6">
        <f ca="1">$M$270*$Z$270</f>
        <v>8891.8637952881327</v>
      </c>
      <c r="AG270" s="6">
        <f>$O$270*$AA$270</f>
        <v>1918.5783292689309</v>
      </c>
    </row>
    <row r="271" spans="1:33" ht="11.25" customHeight="1" x14ac:dyDescent="0.3">
      <c r="A271" s="4" t="s">
        <v>21</v>
      </c>
      <c r="B271" s="4" t="s">
        <v>33</v>
      </c>
      <c r="C271" s="4" t="s">
        <v>23</v>
      </c>
      <c r="D271" s="4" t="s">
        <v>42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9.6300000000000008</v>
      </c>
      <c r="M271" s="6">
        <v>9.6300000000000008</v>
      </c>
      <c r="N271" s="6">
        <v>9.6300000000000008</v>
      </c>
      <c r="O271" s="6">
        <v>9.6300000000000008</v>
      </c>
      <c r="P271" s="6">
        <v>18</v>
      </c>
      <c r="Q271" s="4" t="s">
        <v>26</v>
      </c>
      <c r="R271" s="4">
        <v>0</v>
      </c>
      <c r="S271" s="6">
        <v>0</v>
      </c>
      <c r="T271" s="6">
        <v>55</v>
      </c>
      <c r="U271" s="6">
        <v>6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823.74</v>
      </c>
      <c r="X271" s="6">
        <f>IF(ISERROR(VLOOKUP($U$271,'TAR FIN'!$A$1:$O$85,15,0)),0,VLOOKUP($U$271,'TAR FIN'!$A$1:$O$85,15,0))</f>
        <v>201.73</v>
      </c>
      <c r="Y271" s="6"/>
      <c r="Z271" s="6">
        <f ca="1">('TUSD BE'!$AM$48+'TUSD BF'!$AM$48+'TUSD CVA'!$AM$48)*1</f>
        <v>1046.4709656688399</v>
      </c>
      <c r="AA271" s="6">
        <f>('TE BE'!$AA$38+'TE BF'!$AA$38+'TE CVA'!$AA$38)*1</f>
        <v>225.7947898398177</v>
      </c>
      <c r="AB271" s="6">
        <f>$K$271*$V$271</f>
        <v>0</v>
      </c>
      <c r="AC271" s="6">
        <f>$M$271*$W$271</f>
        <v>7932.6162000000004</v>
      </c>
      <c r="AD271" s="6">
        <f>$O$271*$X$271</f>
        <v>1942.6599000000001</v>
      </c>
      <c r="AE271" s="6">
        <f>$K$271*$Y$271</f>
        <v>0</v>
      </c>
      <c r="AF271" s="6">
        <f ca="1">$M$271*$Z$271</f>
        <v>10077.515399390928</v>
      </c>
      <c r="AG271" s="6">
        <f>$O$271*$AA$271</f>
        <v>2174.4038261574447</v>
      </c>
    </row>
    <row r="272" spans="1:33" ht="11.25" customHeight="1" x14ac:dyDescent="0.3">
      <c r="A272" s="4" t="s">
        <v>21</v>
      </c>
      <c r="B272" s="4" t="s">
        <v>33</v>
      </c>
      <c r="C272" s="4" t="s">
        <v>23</v>
      </c>
      <c r="D272" s="4" t="s">
        <v>42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6.758</v>
      </c>
      <c r="M272" s="6">
        <v>6.758</v>
      </c>
      <c r="N272" s="6">
        <v>6.758</v>
      </c>
      <c r="O272" s="6">
        <v>6.758</v>
      </c>
      <c r="P272" s="6">
        <v>18</v>
      </c>
      <c r="Q272" s="4" t="s">
        <v>26</v>
      </c>
      <c r="R272" s="4">
        <v>0</v>
      </c>
      <c r="S272" s="6">
        <v>0</v>
      </c>
      <c r="T272" s="6">
        <v>55</v>
      </c>
      <c r="U272" s="6">
        <v>6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823.74</v>
      </c>
      <c r="X272" s="6">
        <f>IF(ISERROR(VLOOKUP($U$272,'TAR FIN'!$A$1:$O$85,15,0)),0,VLOOKUP($U$272,'TAR FIN'!$A$1:$O$85,15,0))</f>
        <v>201.73</v>
      </c>
      <c r="Y272" s="6"/>
      <c r="Z272" s="6">
        <f ca="1">('TUSD BE'!$AM$48+'TUSD BF'!$AM$48+'TUSD CVA'!$AM$48)*1</f>
        <v>1046.4709656688399</v>
      </c>
      <c r="AA272" s="6">
        <f>('TE BE'!$AA$38+'TE BF'!$AA$38+'TE CVA'!$AA$38)*1</f>
        <v>225.7947898398177</v>
      </c>
      <c r="AB272" s="6">
        <f>$K$272*$V$272</f>
        <v>0</v>
      </c>
      <c r="AC272" s="6">
        <f>$M$272*$W$272</f>
        <v>5566.8349200000002</v>
      </c>
      <c r="AD272" s="6">
        <f>$O$272*$X$272</f>
        <v>1363.29134</v>
      </c>
      <c r="AE272" s="6">
        <f>$K$272*$Y$272</f>
        <v>0</v>
      </c>
      <c r="AF272" s="6">
        <f ca="1">$M$272*$Z$272</f>
        <v>7072.0507859900199</v>
      </c>
      <c r="AG272" s="6">
        <f>$O$272*$AA$272</f>
        <v>1525.921189737488</v>
      </c>
    </row>
    <row r="273" spans="1:33" ht="11.25" customHeight="1" x14ac:dyDescent="0.3">
      <c r="A273" s="4" t="s">
        <v>21</v>
      </c>
      <c r="B273" s="4" t="s">
        <v>33</v>
      </c>
      <c r="C273" s="4" t="s">
        <v>23</v>
      </c>
      <c r="D273" s="4" t="s">
        <v>42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9.9280000000000008</v>
      </c>
      <c r="M273" s="6">
        <v>9.9280000000000008</v>
      </c>
      <c r="N273" s="6">
        <v>9.9280000000000008</v>
      </c>
      <c r="O273" s="6">
        <v>9.9280000000000008</v>
      </c>
      <c r="P273" s="6">
        <v>18</v>
      </c>
      <c r="Q273" s="4" t="s">
        <v>26</v>
      </c>
      <c r="R273" s="4">
        <v>0</v>
      </c>
      <c r="S273" s="6">
        <v>0</v>
      </c>
      <c r="T273" s="6">
        <v>55</v>
      </c>
      <c r="U273" s="6">
        <v>6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823.74</v>
      </c>
      <c r="X273" s="6">
        <f>IF(ISERROR(VLOOKUP($U$273,'TAR FIN'!$A$1:$O$85,15,0)),0,VLOOKUP($U$273,'TAR FIN'!$A$1:$O$85,15,0))</f>
        <v>201.73</v>
      </c>
      <c r="Y273" s="6"/>
      <c r="Z273" s="6">
        <f ca="1">('TUSD BE'!$AM$48+'TUSD BF'!$AM$48+'TUSD CVA'!$AM$48)*1</f>
        <v>1046.4709656688399</v>
      </c>
      <c r="AA273" s="6">
        <f>('TE BE'!$AA$38+'TE BF'!$AA$38+'TE CVA'!$AA$38)*1</f>
        <v>225.7947898398177</v>
      </c>
      <c r="AB273" s="6">
        <f>$K$273*$V$273</f>
        <v>0</v>
      </c>
      <c r="AC273" s="6">
        <f>$M$273*$W$273</f>
        <v>8178.0907200000011</v>
      </c>
      <c r="AD273" s="6">
        <f>$O$273*$X$273</f>
        <v>2002.7754400000001</v>
      </c>
      <c r="AE273" s="6">
        <f>$K$273*$Y$273</f>
        <v>0</v>
      </c>
      <c r="AF273" s="6">
        <f ca="1">$M$273*$Z$273</f>
        <v>10389.363747160243</v>
      </c>
      <c r="AG273" s="6">
        <f>$O$273*$AA$273</f>
        <v>2241.6906735297102</v>
      </c>
    </row>
    <row r="274" spans="1:33" ht="11.25" customHeight="1" x14ac:dyDescent="0.3">
      <c r="A274" s="4" t="s">
        <v>21</v>
      </c>
      <c r="B274" s="4" t="s">
        <v>33</v>
      </c>
      <c r="C274" s="4" t="s">
        <v>23</v>
      </c>
      <c r="D274" s="4" t="s">
        <v>42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44621</v>
      </c>
      <c r="J274" s="6">
        <v>0</v>
      </c>
      <c r="K274" s="6">
        <v>0</v>
      </c>
      <c r="L274" s="6">
        <v>11.946999999999999</v>
      </c>
      <c r="M274" s="6">
        <v>11.946999999999999</v>
      </c>
      <c r="N274" s="6">
        <v>11.946999999999999</v>
      </c>
      <c r="O274" s="6">
        <v>11.946999999999999</v>
      </c>
      <c r="P274" s="6">
        <v>18</v>
      </c>
      <c r="Q274" s="4" t="s">
        <v>26</v>
      </c>
      <c r="R274" s="4">
        <v>0</v>
      </c>
      <c r="S274" s="6">
        <v>0</v>
      </c>
      <c r="T274" s="6">
        <v>55</v>
      </c>
      <c r="U274" s="6">
        <v>6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823.74</v>
      </c>
      <c r="X274" s="6">
        <f>IF(ISERROR(VLOOKUP($U$274,'TAR FIN'!$A$1:$O$85,15,0)),0,VLOOKUP($U$274,'TAR FIN'!$A$1:$O$85,15,0))</f>
        <v>201.73</v>
      </c>
      <c r="Y274" s="6"/>
      <c r="Z274" s="6">
        <f ca="1">('TUSD BE'!$AM$48+'TUSD BF'!$AM$48+'TUSD CVA'!$AM$48)*1</f>
        <v>1046.4709656688399</v>
      </c>
      <c r="AA274" s="6">
        <f>('TE BE'!$AA$38+'TE BF'!$AA$38+'TE CVA'!$AA$38)*1</f>
        <v>225.7947898398177</v>
      </c>
      <c r="AB274" s="6">
        <f>$K$274*$V$274</f>
        <v>0</v>
      </c>
      <c r="AC274" s="6">
        <f>$M$274*$W$274</f>
        <v>9841.2217799999999</v>
      </c>
      <c r="AD274" s="6">
        <f>$O$274*$X$274</f>
        <v>2410.0683099999997</v>
      </c>
      <c r="AE274" s="6">
        <f>$K$274*$Y$274</f>
        <v>0</v>
      </c>
      <c r="AF274" s="6">
        <f ca="1">$M$274*$Z$274</f>
        <v>12502.188626845629</v>
      </c>
      <c r="AG274" s="6">
        <f>$O$274*$AA$274</f>
        <v>2697.5703542163019</v>
      </c>
    </row>
    <row r="275" spans="1:33" ht="11.25" customHeight="1" x14ac:dyDescent="0.3">
      <c r="A275" s="4" t="s">
        <v>21</v>
      </c>
      <c r="B275" s="4" t="s">
        <v>33</v>
      </c>
      <c r="C275" s="4" t="s">
        <v>23</v>
      </c>
      <c r="D275" s="4" t="s">
        <v>46</v>
      </c>
      <c r="E275" s="4" t="s">
        <v>47</v>
      </c>
      <c r="F275" s="4" t="s">
        <v>25</v>
      </c>
      <c r="G275" s="4" t="s">
        <v>25</v>
      </c>
      <c r="H275" s="4" t="s">
        <v>25</v>
      </c>
      <c r="I275" s="5">
        <v>44287</v>
      </c>
      <c r="J275" s="6">
        <v>0</v>
      </c>
      <c r="K275" s="70">
        <v>0</v>
      </c>
      <c r="L275" s="6">
        <v>7.5960000000000001</v>
      </c>
      <c r="M275" s="70">
        <v>7.5960000000000001</v>
      </c>
      <c r="N275" s="6">
        <v>7.5960000000000001</v>
      </c>
      <c r="O275" s="70">
        <v>7.5960000000000001</v>
      </c>
      <c r="P275" s="6">
        <v>3</v>
      </c>
      <c r="Q275" s="4" t="s">
        <v>26</v>
      </c>
      <c r="R275" s="4">
        <v>0</v>
      </c>
      <c r="S275" s="6">
        <v>0</v>
      </c>
      <c r="T275" s="6">
        <v>55</v>
      </c>
      <c r="U275" s="6">
        <v>6</v>
      </c>
      <c r="V275" s="70">
        <f>IF(ISERROR(VLOOKUP($S$275,'TAR FIN'!$A$1:$O$85,15,0)),0,VLOOKUP($S$275,'TAR FIN'!$A$1:$O$85,15,0))</f>
        <v>0</v>
      </c>
      <c r="W275" s="70">
        <f>IF(ISERROR(VLOOKUP($T$275,'TAR FIN'!$A$1:$O$85,15,0)),0,VLOOKUP($T$275,'TAR FIN'!$A$1:$O$85,15,0))*(1-0.06)</f>
        <v>774.31560000000002</v>
      </c>
      <c r="X275" s="70">
        <f>IF(ISERROR(VLOOKUP($U$275,'TAR FIN'!$A$1:$O$85,15,0)),0,VLOOKUP($U$275,'TAR FIN'!$A$1:$O$85,15,0))*(1-0.06)</f>
        <v>189.62619999999998</v>
      </c>
      <c r="Y275" s="70"/>
      <c r="Z275" s="70">
        <f ca="1">('TUSD BE'!$AM$48+'TUSD BF'!$AM$48+'TUSD CVA'!$AM$48)*1*(1-0.03)</f>
        <v>1015.0768366987746</v>
      </c>
      <c r="AA275" s="70">
        <f>('TE BE'!$AA$38+'TE BF'!$AA$38+'TE CVA'!$AA$38)*1*(1-0.03)</f>
        <v>219.02094614462317</v>
      </c>
      <c r="AB275" s="6">
        <f>$K$275*$V$275</f>
        <v>0</v>
      </c>
      <c r="AC275" s="6">
        <f>$M$275*$W$275</f>
        <v>5881.7012976000005</v>
      </c>
      <c r="AD275" s="6">
        <f>$O$275*$X$275</f>
        <v>1440.4006151999999</v>
      </c>
      <c r="AE275" s="6">
        <f>$K$275*$Y$275</f>
        <v>0</v>
      </c>
      <c r="AF275" s="6">
        <f ca="1">$M$275*$Z$275</f>
        <v>7710.5236515638926</v>
      </c>
      <c r="AG275" s="6">
        <f>$O$275*$AA$275</f>
        <v>1663.6831069145576</v>
      </c>
    </row>
    <row r="276" spans="1:33" ht="11.25" customHeight="1" x14ac:dyDescent="0.3">
      <c r="A276" s="4" t="s">
        <v>21</v>
      </c>
      <c r="B276" s="4" t="s">
        <v>33</v>
      </c>
      <c r="C276" s="4" t="s">
        <v>23</v>
      </c>
      <c r="D276" s="4" t="s">
        <v>46</v>
      </c>
      <c r="E276" s="4" t="s">
        <v>47</v>
      </c>
      <c r="F276" s="4" t="s">
        <v>25</v>
      </c>
      <c r="G276" s="4" t="s">
        <v>25</v>
      </c>
      <c r="H276" s="4" t="s">
        <v>25</v>
      </c>
      <c r="I276" s="5">
        <v>44317</v>
      </c>
      <c r="J276" s="6">
        <v>0</v>
      </c>
      <c r="K276" s="70">
        <v>0</v>
      </c>
      <c r="L276" s="6">
        <v>7.8360000000000003</v>
      </c>
      <c r="M276" s="70">
        <v>7.8360000000000003</v>
      </c>
      <c r="N276" s="6">
        <v>7.8360000000000003</v>
      </c>
      <c r="O276" s="70">
        <v>7.8360000000000003</v>
      </c>
      <c r="P276" s="6">
        <v>3</v>
      </c>
      <c r="Q276" s="4" t="s">
        <v>26</v>
      </c>
      <c r="R276" s="4">
        <v>0</v>
      </c>
      <c r="S276" s="6">
        <v>0</v>
      </c>
      <c r="T276" s="6">
        <v>55</v>
      </c>
      <c r="U276" s="6">
        <v>6</v>
      </c>
      <c r="V276" s="70">
        <f>IF(ISERROR(VLOOKUP($S$276,'TAR FIN'!$A$1:$O$85,15,0)),0,VLOOKUP($S$276,'TAR FIN'!$A$1:$O$85,15,0))</f>
        <v>0</v>
      </c>
      <c r="W276" s="70">
        <f>IF(ISERROR(VLOOKUP($T$276,'TAR FIN'!$A$1:$O$85,15,0)),0,VLOOKUP($T$276,'TAR FIN'!$A$1:$O$85,15,0))*(1-0.06)</f>
        <v>774.31560000000002</v>
      </c>
      <c r="X276" s="70">
        <f>IF(ISERROR(VLOOKUP($U$276,'TAR FIN'!$A$1:$O$85,15,0)),0,VLOOKUP($U$276,'TAR FIN'!$A$1:$O$85,15,0))*(1-0.06)</f>
        <v>189.62619999999998</v>
      </c>
      <c r="Y276" s="70"/>
      <c r="Z276" s="70">
        <f ca="1">('TUSD BE'!$AM$48+'TUSD BF'!$AM$48+'TUSD CVA'!$AM$48)*1*(1-0.03)</f>
        <v>1015.0768366987746</v>
      </c>
      <c r="AA276" s="70">
        <f>('TE BE'!$AA$38+'TE BF'!$AA$38+'TE CVA'!$AA$38)*1*(1-0.03)</f>
        <v>219.02094614462317</v>
      </c>
      <c r="AB276" s="6">
        <f>$K$276*$V$276</f>
        <v>0</v>
      </c>
      <c r="AC276" s="6">
        <f>$M$276*$W$276</f>
        <v>6067.5370416000005</v>
      </c>
      <c r="AD276" s="6">
        <f>$O$276*$X$276</f>
        <v>1485.9109031999999</v>
      </c>
      <c r="AE276" s="6">
        <f>$K$276*$Y$276</f>
        <v>0</v>
      </c>
      <c r="AF276" s="6">
        <f ca="1">$M$276*$Z$276</f>
        <v>7954.1420923715987</v>
      </c>
      <c r="AG276" s="6">
        <f>$O$276*$AA$276</f>
        <v>1716.2481339892672</v>
      </c>
    </row>
    <row r="277" spans="1:33" ht="11.25" customHeight="1" x14ac:dyDescent="0.3">
      <c r="A277" s="4" t="s">
        <v>21</v>
      </c>
      <c r="B277" s="4" t="s">
        <v>33</v>
      </c>
      <c r="C277" s="4" t="s">
        <v>23</v>
      </c>
      <c r="D277" s="4" t="s">
        <v>46</v>
      </c>
      <c r="E277" s="4" t="s">
        <v>47</v>
      </c>
      <c r="F277" s="4" t="s">
        <v>25</v>
      </c>
      <c r="G277" s="4" t="s">
        <v>25</v>
      </c>
      <c r="H277" s="4" t="s">
        <v>25</v>
      </c>
      <c r="I277" s="5">
        <v>44348</v>
      </c>
      <c r="J277" s="6">
        <v>0</v>
      </c>
      <c r="K277" s="70">
        <v>0</v>
      </c>
      <c r="L277" s="6">
        <v>8.2249999999999996</v>
      </c>
      <c r="M277" s="70">
        <v>8.2249999999999996</v>
      </c>
      <c r="N277" s="6">
        <v>8.2249999999999996</v>
      </c>
      <c r="O277" s="70">
        <v>8.2249999999999996</v>
      </c>
      <c r="P277" s="6">
        <v>3</v>
      </c>
      <c r="Q277" s="4" t="s">
        <v>26</v>
      </c>
      <c r="R277" s="4">
        <v>0</v>
      </c>
      <c r="S277" s="6">
        <v>0</v>
      </c>
      <c r="T277" s="6">
        <v>55</v>
      </c>
      <c r="U277" s="6">
        <v>6</v>
      </c>
      <c r="V277" s="70">
        <f>IF(ISERROR(VLOOKUP($S$277,'TAR FIN'!$A$1:$O$85,15,0)),0,VLOOKUP($S$277,'TAR FIN'!$A$1:$O$85,15,0))</f>
        <v>0</v>
      </c>
      <c r="W277" s="70">
        <f>IF(ISERROR(VLOOKUP($T$277,'TAR FIN'!$A$1:$O$85,15,0)),0,VLOOKUP($T$277,'TAR FIN'!$A$1:$O$85,15,0))*(1-0.06)</f>
        <v>774.31560000000002</v>
      </c>
      <c r="X277" s="70">
        <f>IF(ISERROR(VLOOKUP($U$277,'TAR FIN'!$A$1:$O$85,15,0)),0,VLOOKUP($U$277,'TAR FIN'!$A$1:$O$85,15,0))*(1-0.06)</f>
        <v>189.62619999999998</v>
      </c>
      <c r="Y277" s="70"/>
      <c r="Z277" s="70">
        <f ca="1">('TUSD BE'!$AM$48+'TUSD BF'!$AM$48+'TUSD CVA'!$AM$48)*1*(1-0.03)</f>
        <v>1015.0768366987746</v>
      </c>
      <c r="AA277" s="70">
        <f>('TE BE'!$AA$38+'TE BF'!$AA$38+'TE CVA'!$AA$38)*1*(1-0.03)</f>
        <v>219.02094614462317</v>
      </c>
      <c r="AB277" s="6">
        <f>$K$277*$V$277</f>
        <v>0</v>
      </c>
      <c r="AC277" s="6">
        <f>$M$277*$W$277</f>
        <v>6368.7458099999994</v>
      </c>
      <c r="AD277" s="6">
        <f>$O$277*$X$277</f>
        <v>1559.6754949999997</v>
      </c>
      <c r="AE277" s="6">
        <f>$K$277*$Y$277</f>
        <v>0</v>
      </c>
      <c r="AF277" s="6">
        <f ca="1">$M$277*$Z$277</f>
        <v>8349.0069818474203</v>
      </c>
      <c r="AG277" s="6">
        <f>$O$277*$AA$277</f>
        <v>1801.4472820395254</v>
      </c>
    </row>
    <row r="278" spans="1:33" ht="11.25" customHeight="1" x14ac:dyDescent="0.3">
      <c r="A278" s="4" t="s">
        <v>21</v>
      </c>
      <c r="B278" s="4" t="s">
        <v>33</v>
      </c>
      <c r="C278" s="4" t="s">
        <v>23</v>
      </c>
      <c r="D278" s="4" t="s">
        <v>46</v>
      </c>
      <c r="E278" s="4" t="s">
        <v>47</v>
      </c>
      <c r="F278" s="4" t="s">
        <v>25</v>
      </c>
      <c r="G278" s="4" t="s">
        <v>25</v>
      </c>
      <c r="H278" s="4" t="s">
        <v>25</v>
      </c>
      <c r="I278" s="5">
        <v>44378</v>
      </c>
      <c r="J278" s="6">
        <v>0</v>
      </c>
      <c r="K278" s="70">
        <v>0</v>
      </c>
      <c r="L278" s="6">
        <v>8.1340000000000003</v>
      </c>
      <c r="M278" s="70">
        <v>8.1340000000000003</v>
      </c>
      <c r="N278" s="6">
        <v>8.1340000000000003</v>
      </c>
      <c r="O278" s="70">
        <v>8.1340000000000003</v>
      </c>
      <c r="P278" s="6">
        <v>3</v>
      </c>
      <c r="Q278" s="4" t="s">
        <v>26</v>
      </c>
      <c r="R278" s="4">
        <v>0</v>
      </c>
      <c r="S278" s="6">
        <v>0</v>
      </c>
      <c r="T278" s="6">
        <v>55</v>
      </c>
      <c r="U278" s="6">
        <v>6</v>
      </c>
      <c r="V278" s="70">
        <f>IF(ISERROR(VLOOKUP($S$278,'TAR FIN'!$A$1:$O$85,15,0)),0,VLOOKUP($S$278,'TAR FIN'!$A$1:$O$85,15,0))</f>
        <v>0</v>
      </c>
      <c r="W278" s="70">
        <f>IF(ISERROR(VLOOKUP($T$278,'TAR FIN'!$A$1:$O$85,15,0)),0,VLOOKUP($T$278,'TAR FIN'!$A$1:$O$85,15,0))*(1-0.06)</f>
        <v>774.31560000000002</v>
      </c>
      <c r="X278" s="70">
        <f>IF(ISERROR(VLOOKUP($U$278,'TAR FIN'!$A$1:$O$85,15,0)),0,VLOOKUP($U$278,'TAR FIN'!$A$1:$O$85,15,0))*(1-0.06)</f>
        <v>189.62619999999998</v>
      </c>
      <c r="Y278" s="70"/>
      <c r="Z278" s="70">
        <f ca="1">('TUSD BE'!$AM$48+'TUSD BF'!$AM$48+'TUSD CVA'!$AM$48)*1*(1-0.03)</f>
        <v>1015.0768366987746</v>
      </c>
      <c r="AA278" s="70">
        <f>('TE BE'!$AA$38+'TE BF'!$AA$38+'TE CVA'!$AA$38)*1*(1-0.03)</f>
        <v>219.02094614462317</v>
      </c>
      <c r="AB278" s="6">
        <f>$K$278*$V$278</f>
        <v>0</v>
      </c>
      <c r="AC278" s="6">
        <f>$M$278*$W$278</f>
        <v>6298.2830904000002</v>
      </c>
      <c r="AD278" s="6">
        <f>$O$278*$X$278</f>
        <v>1542.4195107999999</v>
      </c>
      <c r="AE278" s="6">
        <f>$K$278*$Y$278</f>
        <v>0</v>
      </c>
      <c r="AF278" s="6">
        <f ca="1">$M$278*$Z$278</f>
        <v>8256.6349897078326</v>
      </c>
      <c r="AG278" s="6">
        <f>$O$278*$AA$278</f>
        <v>1781.5163759403649</v>
      </c>
    </row>
    <row r="279" spans="1:33" ht="11.25" customHeight="1" x14ac:dyDescent="0.3">
      <c r="A279" s="4" t="s">
        <v>21</v>
      </c>
      <c r="B279" s="4" t="s">
        <v>33</v>
      </c>
      <c r="C279" s="4" t="s">
        <v>23</v>
      </c>
      <c r="D279" s="4" t="s">
        <v>46</v>
      </c>
      <c r="E279" s="4" t="s">
        <v>47</v>
      </c>
      <c r="F279" s="4" t="s">
        <v>25</v>
      </c>
      <c r="G279" s="4" t="s">
        <v>25</v>
      </c>
      <c r="H279" s="4" t="s">
        <v>25</v>
      </c>
      <c r="I279" s="5">
        <v>44409</v>
      </c>
      <c r="J279" s="6">
        <v>0</v>
      </c>
      <c r="K279" s="70">
        <v>0</v>
      </c>
      <c r="L279" s="6">
        <v>9.1270000000000007</v>
      </c>
      <c r="M279" s="70">
        <v>9.1270000000000007</v>
      </c>
      <c r="N279" s="6">
        <v>9.1270000000000007</v>
      </c>
      <c r="O279" s="70">
        <v>9.1270000000000007</v>
      </c>
      <c r="P279" s="6">
        <v>3</v>
      </c>
      <c r="Q279" s="4" t="s">
        <v>26</v>
      </c>
      <c r="R279" s="4">
        <v>0</v>
      </c>
      <c r="S279" s="6">
        <v>0</v>
      </c>
      <c r="T279" s="6">
        <v>55</v>
      </c>
      <c r="U279" s="6">
        <v>6</v>
      </c>
      <c r="V279" s="70">
        <f>IF(ISERROR(VLOOKUP($S$279,'TAR FIN'!$A$1:$O$85,15,0)),0,VLOOKUP($S$279,'TAR FIN'!$A$1:$O$85,15,0))</f>
        <v>0</v>
      </c>
      <c r="W279" s="70">
        <f>IF(ISERROR(VLOOKUP($T$279,'TAR FIN'!$A$1:$O$85,15,0)),0,VLOOKUP($T$279,'TAR FIN'!$A$1:$O$85,15,0))*(1-0.06)</f>
        <v>774.31560000000002</v>
      </c>
      <c r="X279" s="70">
        <f>IF(ISERROR(VLOOKUP($U$279,'TAR FIN'!$A$1:$O$85,15,0)),0,VLOOKUP($U$279,'TAR FIN'!$A$1:$O$85,15,0))*(1-0.06)</f>
        <v>189.62619999999998</v>
      </c>
      <c r="Y279" s="70"/>
      <c r="Z279" s="70">
        <f ca="1">('TUSD BE'!$AM$48+'TUSD BF'!$AM$48+'TUSD CVA'!$AM$48)*1*(1-0.03)</f>
        <v>1015.0768366987746</v>
      </c>
      <c r="AA279" s="70">
        <f>('TE BE'!$AA$38+'TE BF'!$AA$38+'TE CVA'!$AA$38)*1*(1-0.03)</f>
        <v>219.02094614462317</v>
      </c>
      <c r="AB279" s="6">
        <f>$K$279*$V$279</f>
        <v>0</v>
      </c>
      <c r="AC279" s="6">
        <f>$M$279*$W$279</f>
        <v>7067.1784812000005</v>
      </c>
      <c r="AD279" s="6">
        <f>$O$279*$X$279</f>
        <v>1730.7183273999999</v>
      </c>
      <c r="AE279" s="6">
        <f>$K$279*$Y$279</f>
        <v>0</v>
      </c>
      <c r="AF279" s="6">
        <f ca="1">$M$279*$Z$279</f>
        <v>9264.6062885497158</v>
      </c>
      <c r="AG279" s="6">
        <f>$O$279*$AA$279</f>
        <v>1999.0041754619758</v>
      </c>
    </row>
    <row r="280" spans="1:33" ht="11.25" customHeight="1" x14ac:dyDescent="0.3">
      <c r="A280" s="4" t="s">
        <v>21</v>
      </c>
      <c r="B280" s="4" t="s">
        <v>33</v>
      </c>
      <c r="C280" s="4" t="s">
        <v>23</v>
      </c>
      <c r="D280" s="4" t="s">
        <v>46</v>
      </c>
      <c r="E280" s="4" t="s">
        <v>47</v>
      </c>
      <c r="F280" s="4" t="s">
        <v>25</v>
      </c>
      <c r="G280" s="4" t="s">
        <v>25</v>
      </c>
      <c r="H280" s="4" t="s">
        <v>25</v>
      </c>
      <c r="I280" s="5">
        <v>44440</v>
      </c>
      <c r="J280" s="6">
        <v>0</v>
      </c>
      <c r="K280" s="70">
        <v>0</v>
      </c>
      <c r="L280" s="6">
        <v>8.516</v>
      </c>
      <c r="M280" s="70">
        <v>8.516</v>
      </c>
      <c r="N280" s="6">
        <v>8.516</v>
      </c>
      <c r="O280" s="70">
        <v>8.516</v>
      </c>
      <c r="P280" s="6">
        <v>3</v>
      </c>
      <c r="Q280" s="4" t="s">
        <v>26</v>
      </c>
      <c r="R280" s="4">
        <v>0</v>
      </c>
      <c r="S280" s="6">
        <v>0</v>
      </c>
      <c r="T280" s="6">
        <v>55</v>
      </c>
      <c r="U280" s="6">
        <v>6</v>
      </c>
      <c r="V280" s="70">
        <f>IF(ISERROR(VLOOKUP($S$280,'TAR FIN'!$A$1:$O$85,15,0)),0,VLOOKUP($S$280,'TAR FIN'!$A$1:$O$85,15,0))</f>
        <v>0</v>
      </c>
      <c r="W280" s="70">
        <f>IF(ISERROR(VLOOKUP($T$280,'TAR FIN'!$A$1:$O$85,15,0)),0,VLOOKUP($T$280,'TAR FIN'!$A$1:$O$85,15,0))*(1-0.06)</f>
        <v>774.31560000000002</v>
      </c>
      <c r="X280" s="70">
        <f>IF(ISERROR(VLOOKUP($U$280,'TAR FIN'!$A$1:$O$85,15,0)),0,VLOOKUP($U$280,'TAR FIN'!$A$1:$O$85,15,0))*(1-0.06)</f>
        <v>189.62619999999998</v>
      </c>
      <c r="Y280" s="70"/>
      <c r="Z280" s="70">
        <f ca="1">('TUSD BE'!$AM$48+'TUSD BF'!$AM$48+'TUSD CVA'!$AM$48)*1*(1-0.03)</f>
        <v>1015.0768366987746</v>
      </c>
      <c r="AA280" s="70">
        <f>('TE BE'!$AA$38+'TE BF'!$AA$38+'TE CVA'!$AA$38)*1*(1-0.03)</f>
        <v>219.02094614462317</v>
      </c>
      <c r="AB280" s="6">
        <f>$K$280*$V$280</f>
        <v>0</v>
      </c>
      <c r="AC280" s="6">
        <f>$M$280*$W$280</f>
        <v>6594.0716496000005</v>
      </c>
      <c r="AD280" s="6">
        <f>$O$280*$X$280</f>
        <v>1614.8567191999998</v>
      </c>
      <c r="AE280" s="6">
        <f>$K$280*$Y$280</f>
        <v>0</v>
      </c>
      <c r="AF280" s="6">
        <f ca="1">$M$280*$Z$280</f>
        <v>8644.3943413267643</v>
      </c>
      <c r="AG280" s="6">
        <f>$O$280*$AA$280</f>
        <v>1865.1823773676108</v>
      </c>
    </row>
    <row r="281" spans="1:33" ht="11.25" customHeight="1" x14ac:dyDescent="0.3">
      <c r="A281" s="4" t="s">
        <v>21</v>
      </c>
      <c r="B281" s="4" t="s">
        <v>33</v>
      </c>
      <c r="C281" s="4" t="s">
        <v>23</v>
      </c>
      <c r="D281" s="4" t="s">
        <v>46</v>
      </c>
      <c r="E281" s="4" t="s">
        <v>47</v>
      </c>
      <c r="F281" s="4" t="s">
        <v>25</v>
      </c>
      <c r="G281" s="4" t="s">
        <v>25</v>
      </c>
      <c r="H281" s="4" t="s">
        <v>25</v>
      </c>
      <c r="I281" s="5">
        <v>44470</v>
      </c>
      <c r="J281" s="6">
        <v>0</v>
      </c>
      <c r="K281" s="70">
        <v>0</v>
      </c>
      <c r="L281" s="6">
        <v>8.0039999999999996</v>
      </c>
      <c r="M281" s="70">
        <v>8.0039999999999996</v>
      </c>
      <c r="N281" s="6">
        <v>8.0039999999999996</v>
      </c>
      <c r="O281" s="70">
        <v>8.0039999999999996</v>
      </c>
      <c r="P281" s="6">
        <v>3</v>
      </c>
      <c r="Q281" s="4" t="s">
        <v>26</v>
      </c>
      <c r="R281" s="4">
        <v>0</v>
      </c>
      <c r="S281" s="6">
        <v>0</v>
      </c>
      <c r="T281" s="6">
        <v>55</v>
      </c>
      <c r="U281" s="6">
        <v>6</v>
      </c>
      <c r="V281" s="70">
        <f>IF(ISERROR(VLOOKUP($S$281,'TAR FIN'!$A$1:$O$85,15,0)),0,VLOOKUP($S$281,'TAR FIN'!$A$1:$O$85,15,0))</f>
        <v>0</v>
      </c>
      <c r="W281" s="70">
        <f>IF(ISERROR(VLOOKUP($T$281,'TAR FIN'!$A$1:$O$85,15,0)),0,VLOOKUP($T$281,'TAR FIN'!$A$1:$O$85,15,0))*(1-0.06)</f>
        <v>774.31560000000002</v>
      </c>
      <c r="X281" s="70">
        <f>IF(ISERROR(VLOOKUP($U$281,'TAR FIN'!$A$1:$O$85,15,0)),0,VLOOKUP($U$281,'TAR FIN'!$A$1:$O$85,15,0))*(1-0.06)</f>
        <v>189.62619999999998</v>
      </c>
      <c r="Y281" s="70"/>
      <c r="Z281" s="70">
        <f ca="1">('TUSD BE'!$AM$48+'TUSD BF'!$AM$48+'TUSD CVA'!$AM$48)*1*(1-0.03)</f>
        <v>1015.0768366987746</v>
      </c>
      <c r="AA281" s="70">
        <f>('TE BE'!$AA$38+'TE BF'!$AA$38+'TE CVA'!$AA$38)*1*(1-0.03)</f>
        <v>219.02094614462317</v>
      </c>
      <c r="AB281" s="6">
        <f>$K$281*$V$281</f>
        <v>0</v>
      </c>
      <c r="AC281" s="6">
        <f>$M$281*$W$281</f>
        <v>6197.6220623999998</v>
      </c>
      <c r="AD281" s="6">
        <f>$O$281*$X$281</f>
        <v>1517.7681047999997</v>
      </c>
      <c r="AE281" s="6">
        <f>$K$281*$Y$281</f>
        <v>0</v>
      </c>
      <c r="AF281" s="6">
        <f ca="1">$M$281*$Z$281</f>
        <v>8124.6750009369916</v>
      </c>
      <c r="AG281" s="6">
        <f>$O$281*$AA$281</f>
        <v>1753.0436529415638</v>
      </c>
    </row>
    <row r="282" spans="1:33" ht="11.25" customHeight="1" x14ac:dyDescent="0.3">
      <c r="A282" s="4" t="s">
        <v>21</v>
      </c>
      <c r="B282" s="4" t="s">
        <v>33</v>
      </c>
      <c r="C282" s="4" t="s">
        <v>23</v>
      </c>
      <c r="D282" s="4" t="s">
        <v>46</v>
      </c>
      <c r="E282" s="4" t="s">
        <v>47</v>
      </c>
      <c r="F282" s="4" t="s">
        <v>25</v>
      </c>
      <c r="G282" s="4" t="s">
        <v>25</v>
      </c>
      <c r="H282" s="4" t="s">
        <v>25</v>
      </c>
      <c r="I282" s="5">
        <v>44501</v>
      </c>
      <c r="J282" s="6">
        <v>0</v>
      </c>
      <c r="K282" s="70">
        <v>0</v>
      </c>
      <c r="L282" s="6">
        <v>6.9169999999999998</v>
      </c>
      <c r="M282" s="70">
        <v>6.9169999999999998</v>
      </c>
      <c r="N282" s="6">
        <v>6.9169999999999998</v>
      </c>
      <c r="O282" s="70">
        <v>6.9169999999999998</v>
      </c>
      <c r="P282" s="6">
        <v>3</v>
      </c>
      <c r="Q282" s="4" t="s">
        <v>26</v>
      </c>
      <c r="R282" s="4">
        <v>0</v>
      </c>
      <c r="S282" s="6">
        <v>0</v>
      </c>
      <c r="T282" s="6">
        <v>55</v>
      </c>
      <c r="U282" s="6">
        <v>6</v>
      </c>
      <c r="V282" s="70">
        <f>IF(ISERROR(VLOOKUP($S$282,'TAR FIN'!$A$1:$O$85,15,0)),0,VLOOKUP($S$282,'TAR FIN'!$A$1:$O$85,15,0))</f>
        <v>0</v>
      </c>
      <c r="W282" s="70">
        <f>IF(ISERROR(VLOOKUP($T$282,'TAR FIN'!$A$1:$O$85,15,0)),0,VLOOKUP($T$282,'TAR FIN'!$A$1:$O$85,15,0))*(1-0.06)</f>
        <v>774.31560000000002</v>
      </c>
      <c r="X282" s="70">
        <f>IF(ISERROR(VLOOKUP($U$282,'TAR FIN'!$A$1:$O$85,15,0)),0,VLOOKUP($U$282,'TAR FIN'!$A$1:$O$85,15,0))*(1-0.06)</f>
        <v>189.62619999999998</v>
      </c>
      <c r="Y282" s="70"/>
      <c r="Z282" s="70">
        <f ca="1">('TUSD BE'!$AM$48+'TUSD BF'!$AM$48+'TUSD CVA'!$AM$48)*1*(1-0.03)</f>
        <v>1015.0768366987746</v>
      </c>
      <c r="AA282" s="70">
        <f>('TE BE'!$AA$38+'TE BF'!$AA$38+'TE CVA'!$AA$38)*1*(1-0.03)</f>
        <v>219.02094614462317</v>
      </c>
      <c r="AB282" s="6">
        <f>$K$282*$V$282</f>
        <v>0</v>
      </c>
      <c r="AC282" s="6">
        <f>$M$282*$W$282</f>
        <v>5355.9410052000003</v>
      </c>
      <c r="AD282" s="6">
        <f>$O$282*$X$282</f>
        <v>1311.6444253999998</v>
      </c>
      <c r="AE282" s="6">
        <f>$K$282*$Y$282</f>
        <v>0</v>
      </c>
      <c r="AF282" s="6">
        <f ca="1">$M$282*$Z$282</f>
        <v>7021.2864794454235</v>
      </c>
      <c r="AG282" s="6">
        <f>$O$282*$AA$282</f>
        <v>1514.9678844823584</v>
      </c>
    </row>
    <row r="283" spans="1:33" ht="11.25" customHeight="1" x14ac:dyDescent="0.3">
      <c r="A283" s="4" t="s">
        <v>21</v>
      </c>
      <c r="B283" s="4" t="s">
        <v>33</v>
      </c>
      <c r="C283" s="4" t="s">
        <v>23</v>
      </c>
      <c r="D283" s="4" t="s">
        <v>46</v>
      </c>
      <c r="E283" s="4" t="s">
        <v>47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70">
        <v>0</v>
      </c>
      <c r="L283" s="6">
        <v>6.3120000000000003</v>
      </c>
      <c r="M283" s="70">
        <v>6.3120000000000003</v>
      </c>
      <c r="N283" s="6">
        <v>6.3120000000000003</v>
      </c>
      <c r="O283" s="70">
        <v>6.3120000000000003</v>
      </c>
      <c r="P283" s="6">
        <v>3</v>
      </c>
      <c r="Q283" s="4" t="s">
        <v>26</v>
      </c>
      <c r="R283" s="4">
        <v>0</v>
      </c>
      <c r="S283" s="6">
        <v>0</v>
      </c>
      <c r="T283" s="6">
        <v>55</v>
      </c>
      <c r="U283" s="6">
        <v>6</v>
      </c>
      <c r="V283" s="70">
        <f>IF(ISERROR(VLOOKUP($S$283,'TAR FIN'!$A$1:$O$85,15,0)),0,VLOOKUP($S$283,'TAR FIN'!$A$1:$O$85,15,0))</f>
        <v>0</v>
      </c>
      <c r="W283" s="70">
        <f>IF(ISERROR(VLOOKUP($T$283,'TAR FIN'!$A$1:$O$85,15,0)),0,VLOOKUP($T$283,'TAR FIN'!$A$1:$O$85,15,0))*(1-0.06)</f>
        <v>774.31560000000002</v>
      </c>
      <c r="X283" s="70">
        <f>IF(ISERROR(VLOOKUP($U$283,'TAR FIN'!$A$1:$O$85,15,0)),0,VLOOKUP($U$283,'TAR FIN'!$A$1:$O$85,15,0))*(1-0.06)</f>
        <v>189.62619999999998</v>
      </c>
      <c r="Y283" s="70"/>
      <c r="Z283" s="70">
        <f ca="1">('TUSD BE'!$AM$48+'TUSD BF'!$AM$48+'TUSD CVA'!$AM$48)*1*(1-0.03)</f>
        <v>1015.0768366987746</v>
      </c>
      <c r="AA283" s="70">
        <f>('TE BE'!$AA$38+'TE BF'!$AA$38+'TE CVA'!$AA$38)*1*(1-0.03)</f>
        <v>219.02094614462317</v>
      </c>
      <c r="AB283" s="6">
        <f>$K$283*$V$283</f>
        <v>0</v>
      </c>
      <c r="AC283" s="6">
        <f>$M$283*$W$283</f>
        <v>4887.4800672000001</v>
      </c>
      <c r="AD283" s="6">
        <f>$O$283*$X$283</f>
        <v>1196.9205743999999</v>
      </c>
      <c r="AE283" s="6">
        <f>$K$283*$Y$283</f>
        <v>0</v>
      </c>
      <c r="AF283" s="6">
        <f ca="1">$M$283*$Z$283</f>
        <v>6407.1649932426653</v>
      </c>
      <c r="AG283" s="6">
        <f>$O$283*$AA$283</f>
        <v>1382.4602120648615</v>
      </c>
    </row>
    <row r="284" spans="1:33" ht="11.25" customHeight="1" x14ac:dyDescent="0.3">
      <c r="A284" s="4" t="s">
        <v>21</v>
      </c>
      <c r="B284" s="4" t="s">
        <v>33</v>
      </c>
      <c r="C284" s="4" t="s">
        <v>23</v>
      </c>
      <c r="D284" s="4" t="s">
        <v>46</v>
      </c>
      <c r="E284" s="4" t="s">
        <v>47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70">
        <v>0</v>
      </c>
      <c r="L284" s="6">
        <v>7.1479999999999997</v>
      </c>
      <c r="M284" s="70">
        <v>7.1479999999999997</v>
      </c>
      <c r="N284" s="6">
        <v>7.1479999999999997</v>
      </c>
      <c r="O284" s="70">
        <v>7.1479999999999997</v>
      </c>
      <c r="P284" s="6">
        <v>3</v>
      </c>
      <c r="Q284" s="4" t="s">
        <v>26</v>
      </c>
      <c r="R284" s="4">
        <v>0</v>
      </c>
      <c r="S284" s="6">
        <v>0</v>
      </c>
      <c r="T284" s="6">
        <v>55</v>
      </c>
      <c r="U284" s="6">
        <v>6</v>
      </c>
      <c r="V284" s="70">
        <f>IF(ISERROR(VLOOKUP($S$284,'TAR FIN'!$A$1:$O$85,15,0)),0,VLOOKUP($S$284,'TAR FIN'!$A$1:$O$85,15,0))</f>
        <v>0</v>
      </c>
      <c r="W284" s="70">
        <f>IF(ISERROR(VLOOKUP($T$284,'TAR FIN'!$A$1:$O$85,15,0)),0,VLOOKUP($T$284,'TAR FIN'!$A$1:$O$85,15,0))*(1-0.06)</f>
        <v>774.31560000000002</v>
      </c>
      <c r="X284" s="70">
        <f>IF(ISERROR(VLOOKUP($U$284,'TAR FIN'!$A$1:$O$85,15,0)),0,VLOOKUP($U$284,'TAR FIN'!$A$1:$O$85,15,0))*(1-0.06)</f>
        <v>189.62619999999998</v>
      </c>
      <c r="Y284" s="70"/>
      <c r="Z284" s="70">
        <f ca="1">('TUSD BE'!$AM$48+'TUSD BF'!$AM$48+'TUSD CVA'!$AM$48)*1*(1-0.03)</f>
        <v>1015.0768366987746</v>
      </c>
      <c r="AA284" s="70">
        <f>('TE BE'!$AA$38+'TE BF'!$AA$38+'TE CVA'!$AA$38)*1*(1-0.03)</f>
        <v>219.02094614462317</v>
      </c>
      <c r="AB284" s="6">
        <f>$K$284*$V$284</f>
        <v>0</v>
      </c>
      <c r="AC284" s="6">
        <f>$M$284*$W$284</f>
        <v>5534.8079087999995</v>
      </c>
      <c r="AD284" s="6">
        <f>$O$284*$X$284</f>
        <v>1355.4480775999998</v>
      </c>
      <c r="AE284" s="6">
        <f>$K$284*$Y$284</f>
        <v>0</v>
      </c>
      <c r="AF284" s="6">
        <f ca="1">$M$284*$Z$284</f>
        <v>7255.769228722841</v>
      </c>
      <c r="AG284" s="6">
        <f>$O$284*$AA$284</f>
        <v>1565.5617230417663</v>
      </c>
    </row>
    <row r="285" spans="1:33" ht="11.25" customHeight="1" x14ac:dyDescent="0.3">
      <c r="A285" s="4" t="s">
        <v>21</v>
      </c>
      <c r="B285" s="4" t="s">
        <v>33</v>
      </c>
      <c r="C285" s="4" t="s">
        <v>23</v>
      </c>
      <c r="D285" s="4" t="s">
        <v>46</v>
      </c>
      <c r="E285" s="4" t="s">
        <v>47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70">
        <v>0</v>
      </c>
      <c r="L285" s="6">
        <v>6.2770000000000001</v>
      </c>
      <c r="M285" s="70">
        <v>6.2770000000000001</v>
      </c>
      <c r="N285" s="6">
        <v>6.2770000000000001</v>
      </c>
      <c r="O285" s="70">
        <v>6.2770000000000001</v>
      </c>
      <c r="P285" s="6">
        <v>3</v>
      </c>
      <c r="Q285" s="4" t="s">
        <v>26</v>
      </c>
      <c r="R285" s="4">
        <v>0</v>
      </c>
      <c r="S285" s="6">
        <v>0</v>
      </c>
      <c r="T285" s="6">
        <v>55</v>
      </c>
      <c r="U285" s="6">
        <v>6</v>
      </c>
      <c r="V285" s="70">
        <f>IF(ISERROR(VLOOKUP($S$285,'TAR FIN'!$A$1:$O$85,15,0)),0,VLOOKUP($S$285,'TAR FIN'!$A$1:$O$85,15,0))</f>
        <v>0</v>
      </c>
      <c r="W285" s="70">
        <f>IF(ISERROR(VLOOKUP($T$285,'TAR FIN'!$A$1:$O$85,15,0)),0,VLOOKUP($T$285,'TAR FIN'!$A$1:$O$85,15,0))*(1-0.06)</f>
        <v>774.31560000000002</v>
      </c>
      <c r="X285" s="70">
        <f>IF(ISERROR(VLOOKUP($U$285,'TAR FIN'!$A$1:$O$85,15,0)),0,VLOOKUP($U$285,'TAR FIN'!$A$1:$O$85,15,0))*(1-0.06)</f>
        <v>189.62619999999998</v>
      </c>
      <c r="Y285" s="70"/>
      <c r="Z285" s="70">
        <f ca="1">('TUSD BE'!$AM$48+'TUSD BF'!$AM$48+'TUSD CVA'!$AM$48)*1*(1-0.03)</f>
        <v>1015.0768366987746</v>
      </c>
      <c r="AA285" s="70">
        <f>('TE BE'!$AA$38+'TE BF'!$AA$38+'TE CVA'!$AA$38)*1*(1-0.03)</f>
        <v>219.02094614462317</v>
      </c>
      <c r="AB285" s="6">
        <f>$K$285*$V$285</f>
        <v>0</v>
      </c>
      <c r="AC285" s="6">
        <f>$M$285*$W$285</f>
        <v>4860.3790212000004</v>
      </c>
      <c r="AD285" s="6">
        <f>$O$285*$X$285</f>
        <v>1190.2836573999998</v>
      </c>
      <c r="AE285" s="6">
        <f>$K$285*$Y$285</f>
        <v>0</v>
      </c>
      <c r="AF285" s="6">
        <f ca="1">$M$285*$Z$285</f>
        <v>6371.6373039582086</v>
      </c>
      <c r="AG285" s="6">
        <f>$O$285*$AA$285</f>
        <v>1374.7944789497997</v>
      </c>
    </row>
    <row r="286" spans="1:33" ht="11.25" customHeight="1" x14ac:dyDescent="0.3">
      <c r="A286" s="4" t="s">
        <v>21</v>
      </c>
      <c r="B286" s="4" t="s">
        <v>33</v>
      </c>
      <c r="C286" s="4" t="s">
        <v>23</v>
      </c>
      <c r="D286" s="4" t="s">
        <v>46</v>
      </c>
      <c r="E286" s="4" t="s">
        <v>47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70">
        <v>0</v>
      </c>
      <c r="L286" s="6">
        <v>5.8730000000000002</v>
      </c>
      <c r="M286" s="70">
        <v>5.8730000000000002</v>
      </c>
      <c r="N286" s="6">
        <v>5.8730000000000002</v>
      </c>
      <c r="O286" s="70">
        <v>5.8730000000000002</v>
      </c>
      <c r="P286" s="6">
        <v>3</v>
      </c>
      <c r="Q286" s="4" t="s">
        <v>26</v>
      </c>
      <c r="R286" s="4">
        <v>0</v>
      </c>
      <c r="S286" s="6">
        <v>0</v>
      </c>
      <c r="T286" s="6">
        <v>55</v>
      </c>
      <c r="U286" s="6">
        <v>6</v>
      </c>
      <c r="V286" s="70">
        <f>IF(ISERROR(VLOOKUP($S$286,'TAR FIN'!$A$1:$O$85,15,0)),0,VLOOKUP($S$286,'TAR FIN'!$A$1:$O$85,15,0))</f>
        <v>0</v>
      </c>
      <c r="W286" s="70">
        <f>IF(ISERROR(VLOOKUP($T$286,'TAR FIN'!$A$1:$O$85,15,0)),0,VLOOKUP($T$286,'TAR FIN'!$A$1:$O$85,15,0))*(1-0.06)</f>
        <v>774.31560000000002</v>
      </c>
      <c r="X286" s="70">
        <f>IF(ISERROR(VLOOKUP($U$286,'TAR FIN'!$A$1:$O$85,15,0)),0,VLOOKUP($U$286,'TAR FIN'!$A$1:$O$85,15,0))*(1-0.06)</f>
        <v>189.62619999999998</v>
      </c>
      <c r="Y286" s="70"/>
      <c r="Z286" s="70">
        <f ca="1">('TUSD BE'!$AM$48+'TUSD BF'!$AM$48+'TUSD CVA'!$AM$48)*1*(1-0.03)</f>
        <v>1015.0768366987746</v>
      </c>
      <c r="AA286" s="70">
        <f>('TE BE'!$AA$38+'TE BF'!$AA$38+'TE CVA'!$AA$38)*1*(1-0.03)</f>
        <v>219.02094614462317</v>
      </c>
      <c r="AB286" s="6">
        <f>$K$286*$V$286</f>
        <v>0</v>
      </c>
      <c r="AC286" s="6">
        <f>$M$286*$W$286</f>
        <v>4547.5555187999998</v>
      </c>
      <c r="AD286" s="6">
        <f>$O$286*$X$286</f>
        <v>1113.6746725999999</v>
      </c>
      <c r="AE286" s="6">
        <f>$K$286*$Y$286</f>
        <v>0</v>
      </c>
      <c r="AF286" s="6">
        <f ca="1">$M$286*$Z$286</f>
        <v>5961.5462619319032</v>
      </c>
      <c r="AG286" s="6">
        <f>$O$286*$AA$286</f>
        <v>1286.3100167073719</v>
      </c>
    </row>
    <row r="287" spans="1:33" ht="11.25" customHeight="1" x14ac:dyDescent="0.3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45</v>
      </c>
      <c r="F287" s="4" t="s">
        <v>25</v>
      </c>
      <c r="G287" s="4" t="s">
        <v>25</v>
      </c>
      <c r="H287" s="4" t="s">
        <v>25</v>
      </c>
      <c r="I287" s="5">
        <v>44287</v>
      </c>
      <c r="J287" s="6">
        <v>0</v>
      </c>
      <c r="K287" s="6">
        <v>0</v>
      </c>
      <c r="L287" s="6">
        <v>59.307000000000002</v>
      </c>
      <c r="M287" s="6">
        <v>59.307000000000002</v>
      </c>
      <c r="N287" s="6">
        <v>59.307000000000002</v>
      </c>
      <c r="O287" s="6">
        <v>59.307000000000002</v>
      </c>
      <c r="P287" s="6">
        <v>4</v>
      </c>
      <c r="Q287" s="4" t="s">
        <v>26</v>
      </c>
      <c r="R287" s="4">
        <v>0</v>
      </c>
      <c r="S287" s="6">
        <v>0</v>
      </c>
      <c r="T287" s="6">
        <v>51</v>
      </c>
      <c r="U287" s="6">
        <v>2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436.58</v>
      </c>
      <c r="X287" s="6">
        <f>IF(ISERROR(VLOOKUP($U$287,'TAR FIN'!$A$1:$O$85,15,0)),0,VLOOKUP($U$287,'TAR FIN'!$A$1:$O$85,15,0))</f>
        <v>106.92</v>
      </c>
      <c r="Y287" s="6"/>
      <c r="Z287" s="6">
        <f ca="1">('TUSD BE'!$AM$50+'TUSD BF'!$AM$50+'TUSD CVA'!$AM$50)*1</f>
        <v>554.62961180448519</v>
      </c>
      <c r="AA287" s="6">
        <f>('TE BE'!$AA$40+'TE BF'!$AA$40+'TE CVA'!$AA$40)*1</f>
        <v>119.67123861510339</v>
      </c>
      <c r="AB287" s="6">
        <f>$K$287*$V$287</f>
        <v>0</v>
      </c>
      <c r="AC287" s="6">
        <f>$M$287*$W$287</f>
        <v>25892.250059999998</v>
      </c>
      <c r="AD287" s="6">
        <f>$O$287*$X$287</f>
        <v>6341.1044400000001</v>
      </c>
      <c r="AE287" s="6">
        <f>$K$287*$Y$287</f>
        <v>0</v>
      </c>
      <c r="AF287" s="6">
        <f ca="1">$M$287*$Z$287</f>
        <v>32893.418387288606</v>
      </c>
      <c r="AG287" s="6">
        <f>$O$287*$AA$287</f>
        <v>7097.3421485459367</v>
      </c>
    </row>
    <row r="288" spans="1:33" ht="11.25" customHeight="1" x14ac:dyDescent="0.3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45</v>
      </c>
      <c r="F288" s="4" t="s">
        <v>25</v>
      </c>
      <c r="G288" s="4" t="s">
        <v>25</v>
      </c>
      <c r="H288" s="4" t="s">
        <v>25</v>
      </c>
      <c r="I288" s="5">
        <v>44317</v>
      </c>
      <c r="J288" s="6">
        <v>0</v>
      </c>
      <c r="K288" s="6">
        <v>0</v>
      </c>
      <c r="L288" s="6">
        <v>58.252000000000002</v>
      </c>
      <c r="M288" s="6">
        <v>58.252000000000002</v>
      </c>
      <c r="N288" s="6">
        <v>58.252000000000002</v>
      </c>
      <c r="O288" s="6">
        <v>58.252000000000002</v>
      </c>
      <c r="P288" s="6">
        <v>4</v>
      </c>
      <c r="Q288" s="4" t="s">
        <v>26</v>
      </c>
      <c r="R288" s="4">
        <v>0</v>
      </c>
      <c r="S288" s="6">
        <v>0</v>
      </c>
      <c r="T288" s="6">
        <v>51</v>
      </c>
      <c r="U288" s="6">
        <v>2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436.58</v>
      </c>
      <c r="X288" s="6">
        <f>IF(ISERROR(VLOOKUP($U$288,'TAR FIN'!$A$1:$O$85,15,0)),0,VLOOKUP($U$288,'TAR FIN'!$A$1:$O$85,15,0))</f>
        <v>106.92</v>
      </c>
      <c r="Y288" s="6"/>
      <c r="Z288" s="6">
        <f ca="1">('TUSD BE'!$AM$50+'TUSD BF'!$AM$50+'TUSD CVA'!$AM$50)*1</f>
        <v>554.62961180448519</v>
      </c>
      <c r="AA288" s="6">
        <f>('TE BE'!$AA$40+'TE BF'!$AA$40+'TE CVA'!$AA$40)*1</f>
        <v>119.67123861510339</v>
      </c>
      <c r="AB288" s="6">
        <f>$K$288*$V$288</f>
        <v>0</v>
      </c>
      <c r="AC288" s="6">
        <f>$M$288*$W$288</f>
        <v>25431.658159999999</v>
      </c>
      <c r="AD288" s="6">
        <f>$O$288*$X$288</f>
        <v>6228.3038400000005</v>
      </c>
      <c r="AE288" s="6">
        <f>$K$288*$Y$288</f>
        <v>0</v>
      </c>
      <c r="AF288" s="6">
        <f ca="1">$M$288*$Z$288</f>
        <v>32308.284146834874</v>
      </c>
      <c r="AG288" s="6">
        <f>$O$288*$AA$288</f>
        <v>6971.0889918070034</v>
      </c>
    </row>
    <row r="289" spans="1:33" ht="11.25" customHeight="1" x14ac:dyDescent="0.3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45</v>
      </c>
      <c r="F289" s="4" t="s">
        <v>25</v>
      </c>
      <c r="G289" s="4" t="s">
        <v>25</v>
      </c>
      <c r="H289" s="4" t="s">
        <v>25</v>
      </c>
      <c r="I289" s="5">
        <v>44348</v>
      </c>
      <c r="J289" s="6">
        <v>0</v>
      </c>
      <c r="K289" s="6">
        <v>0</v>
      </c>
      <c r="L289" s="6">
        <v>56.93</v>
      </c>
      <c r="M289" s="6">
        <v>56.93</v>
      </c>
      <c r="N289" s="6">
        <v>56.93</v>
      </c>
      <c r="O289" s="6">
        <v>56.93</v>
      </c>
      <c r="P289" s="6">
        <v>4</v>
      </c>
      <c r="Q289" s="4" t="s">
        <v>26</v>
      </c>
      <c r="R289" s="4">
        <v>0</v>
      </c>
      <c r="S289" s="6">
        <v>0</v>
      </c>
      <c r="T289" s="6">
        <v>51</v>
      </c>
      <c r="U289" s="6">
        <v>2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436.58</v>
      </c>
      <c r="X289" s="6">
        <f>IF(ISERROR(VLOOKUP($U$289,'TAR FIN'!$A$1:$O$85,15,0)),0,VLOOKUP($U$289,'TAR FIN'!$A$1:$O$85,15,0))</f>
        <v>106.92</v>
      </c>
      <c r="Y289" s="6"/>
      <c r="Z289" s="6">
        <f ca="1">('TUSD BE'!$AM$50+'TUSD BF'!$AM$50+'TUSD CVA'!$AM$50)*1</f>
        <v>554.62961180448519</v>
      </c>
      <c r="AA289" s="6">
        <f>('TE BE'!$AA$40+'TE BF'!$AA$40+'TE CVA'!$AA$40)*1</f>
        <v>119.67123861510339</v>
      </c>
      <c r="AB289" s="6">
        <f>$K$289*$V$289</f>
        <v>0</v>
      </c>
      <c r="AC289" s="6">
        <f>$M$289*$W$289</f>
        <v>24854.499400000001</v>
      </c>
      <c r="AD289" s="6">
        <f>$O$289*$X$289</f>
        <v>6086.9556000000002</v>
      </c>
      <c r="AE289" s="6">
        <f>$K$289*$Y$289</f>
        <v>0</v>
      </c>
      <c r="AF289" s="6">
        <f ca="1">$M$289*$Z$289</f>
        <v>31575.06380002934</v>
      </c>
      <c r="AG289" s="6">
        <f>$O$289*$AA$289</f>
        <v>6812.8836143578364</v>
      </c>
    </row>
    <row r="290" spans="1:33" ht="11.25" customHeight="1" x14ac:dyDescent="0.3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45</v>
      </c>
      <c r="F290" s="4" t="s">
        <v>25</v>
      </c>
      <c r="G290" s="4" t="s">
        <v>25</v>
      </c>
      <c r="H290" s="4" t="s">
        <v>25</v>
      </c>
      <c r="I290" s="5">
        <v>44378</v>
      </c>
      <c r="J290" s="6">
        <v>0</v>
      </c>
      <c r="K290" s="6">
        <v>0</v>
      </c>
      <c r="L290" s="6">
        <v>58.279000000000003</v>
      </c>
      <c r="M290" s="6">
        <v>58.279000000000003</v>
      </c>
      <c r="N290" s="6">
        <v>58.279000000000003</v>
      </c>
      <c r="O290" s="6">
        <v>58.279000000000003</v>
      </c>
      <c r="P290" s="6">
        <v>4</v>
      </c>
      <c r="Q290" s="4" t="s">
        <v>26</v>
      </c>
      <c r="R290" s="4">
        <v>0</v>
      </c>
      <c r="S290" s="6">
        <v>0</v>
      </c>
      <c r="T290" s="6">
        <v>51</v>
      </c>
      <c r="U290" s="6">
        <v>2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436.58</v>
      </c>
      <c r="X290" s="6">
        <f>IF(ISERROR(VLOOKUP($U$290,'TAR FIN'!$A$1:$O$85,15,0)),0,VLOOKUP($U$290,'TAR FIN'!$A$1:$O$85,15,0))</f>
        <v>106.92</v>
      </c>
      <c r="Y290" s="6"/>
      <c r="Z290" s="6">
        <f ca="1">('TUSD BE'!$AM$50+'TUSD BF'!$AM$50+'TUSD CVA'!$AM$50)*1</f>
        <v>554.62961180448519</v>
      </c>
      <c r="AA290" s="6">
        <f>('TE BE'!$AA$40+'TE BF'!$AA$40+'TE CVA'!$AA$40)*1</f>
        <v>119.67123861510339</v>
      </c>
      <c r="AB290" s="6">
        <f>$K$290*$V$290</f>
        <v>0</v>
      </c>
      <c r="AC290" s="6">
        <f>$M$290*$W$290</f>
        <v>25443.445820000001</v>
      </c>
      <c r="AD290" s="6">
        <f>$O$290*$X$290</f>
        <v>6231.1906800000006</v>
      </c>
      <c r="AE290" s="6">
        <f>$K$290*$Y$290</f>
        <v>0</v>
      </c>
      <c r="AF290" s="6">
        <f ca="1">$M$290*$Z$290</f>
        <v>32323.259146353594</v>
      </c>
      <c r="AG290" s="6">
        <f>$O$290*$AA$290</f>
        <v>6974.3201152496113</v>
      </c>
    </row>
    <row r="291" spans="1:33" ht="11.25" customHeight="1" x14ac:dyDescent="0.3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45</v>
      </c>
      <c r="F291" s="4" t="s">
        <v>25</v>
      </c>
      <c r="G291" s="4" t="s">
        <v>25</v>
      </c>
      <c r="H291" s="4" t="s">
        <v>25</v>
      </c>
      <c r="I291" s="5">
        <v>44409</v>
      </c>
      <c r="J291" s="6">
        <v>0</v>
      </c>
      <c r="K291" s="6">
        <v>0</v>
      </c>
      <c r="L291" s="6">
        <v>56.210999999999999</v>
      </c>
      <c r="M291" s="6">
        <v>56.210999999999999</v>
      </c>
      <c r="N291" s="6">
        <v>56.210999999999999</v>
      </c>
      <c r="O291" s="6">
        <v>56.210999999999999</v>
      </c>
      <c r="P291" s="6">
        <v>4</v>
      </c>
      <c r="Q291" s="4" t="s">
        <v>26</v>
      </c>
      <c r="R291" s="4">
        <v>0</v>
      </c>
      <c r="S291" s="6">
        <v>0</v>
      </c>
      <c r="T291" s="6">
        <v>51</v>
      </c>
      <c r="U291" s="6">
        <v>2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436.58</v>
      </c>
      <c r="X291" s="6">
        <f>IF(ISERROR(VLOOKUP($U$291,'TAR FIN'!$A$1:$O$85,15,0)),0,VLOOKUP($U$291,'TAR FIN'!$A$1:$O$85,15,0))</f>
        <v>106.92</v>
      </c>
      <c r="Y291" s="6"/>
      <c r="Z291" s="6">
        <f ca="1">('TUSD BE'!$AM$50+'TUSD BF'!$AM$50+'TUSD CVA'!$AM$50)*1</f>
        <v>554.62961180448519</v>
      </c>
      <c r="AA291" s="6">
        <f>('TE BE'!$AA$40+'TE BF'!$AA$40+'TE CVA'!$AA$40)*1</f>
        <v>119.67123861510339</v>
      </c>
      <c r="AB291" s="6">
        <f>$K$291*$V$291</f>
        <v>0</v>
      </c>
      <c r="AC291" s="6">
        <f>$M$291*$W$291</f>
        <v>24540.598379999999</v>
      </c>
      <c r="AD291" s="6">
        <f>$O$291*$X$291</f>
        <v>6010.0801199999996</v>
      </c>
      <c r="AE291" s="6">
        <f>$K$291*$Y$291</f>
        <v>0</v>
      </c>
      <c r="AF291" s="6">
        <f ca="1">$M$291*$Z$291</f>
        <v>31176.285109141918</v>
      </c>
      <c r="AG291" s="6">
        <f>$O$291*$AA$291</f>
        <v>6726.8399937935765</v>
      </c>
    </row>
    <row r="292" spans="1:33" ht="11.25" customHeight="1" x14ac:dyDescent="0.3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45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51.582000000000001</v>
      </c>
      <c r="M292" s="6">
        <v>51.582000000000001</v>
      </c>
      <c r="N292" s="6">
        <v>51.582000000000001</v>
      </c>
      <c r="O292" s="6">
        <v>51.582000000000001</v>
      </c>
      <c r="P292" s="6">
        <v>4</v>
      </c>
      <c r="Q292" s="4" t="s">
        <v>26</v>
      </c>
      <c r="R292" s="4">
        <v>0</v>
      </c>
      <c r="S292" s="6">
        <v>0</v>
      </c>
      <c r="T292" s="6">
        <v>51</v>
      </c>
      <c r="U292" s="6">
        <v>2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436.58</v>
      </c>
      <c r="X292" s="6">
        <f>IF(ISERROR(VLOOKUP($U$292,'TAR FIN'!$A$1:$O$85,15,0)),0,VLOOKUP($U$292,'TAR FIN'!$A$1:$O$85,15,0))</f>
        <v>106.92</v>
      </c>
      <c r="Y292" s="6"/>
      <c r="Z292" s="6">
        <f ca="1">('TUSD BE'!$AM$50+'TUSD BF'!$AM$50+'TUSD CVA'!$AM$50)*1</f>
        <v>554.62961180448519</v>
      </c>
      <c r="AA292" s="6">
        <f>('TE BE'!$AA$40+'TE BF'!$AA$40+'TE CVA'!$AA$40)*1</f>
        <v>119.67123861510339</v>
      </c>
      <c r="AB292" s="6">
        <f>$K$292*$V$292</f>
        <v>0</v>
      </c>
      <c r="AC292" s="6">
        <f>$M$292*$W$292</f>
        <v>22519.669559999998</v>
      </c>
      <c r="AD292" s="6">
        <f>$O$292*$X$292</f>
        <v>5515.1474399999997</v>
      </c>
      <c r="AE292" s="6">
        <f>$K$292*$Y$292</f>
        <v>0</v>
      </c>
      <c r="AF292" s="6">
        <f ca="1">$M$292*$Z$292</f>
        <v>28608.904636098956</v>
      </c>
      <c r="AG292" s="6">
        <f>$O$292*$AA$292</f>
        <v>6172.8818302442633</v>
      </c>
    </row>
    <row r="293" spans="1:33" ht="11.25" customHeight="1" x14ac:dyDescent="0.3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45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51.317999999999998</v>
      </c>
      <c r="M293" s="6">
        <v>51.317999999999998</v>
      </c>
      <c r="N293" s="6">
        <v>51.317999999999998</v>
      </c>
      <c r="O293" s="6">
        <v>51.317999999999998</v>
      </c>
      <c r="P293" s="6">
        <v>4</v>
      </c>
      <c r="Q293" s="4" t="s">
        <v>26</v>
      </c>
      <c r="R293" s="4">
        <v>0</v>
      </c>
      <c r="S293" s="6">
        <v>0</v>
      </c>
      <c r="T293" s="6">
        <v>51</v>
      </c>
      <c r="U293" s="6">
        <v>2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436.58</v>
      </c>
      <c r="X293" s="6">
        <f>IF(ISERROR(VLOOKUP($U$293,'TAR FIN'!$A$1:$O$85,15,0)),0,VLOOKUP($U$293,'TAR FIN'!$A$1:$O$85,15,0))</f>
        <v>106.92</v>
      </c>
      <c r="Y293" s="6"/>
      <c r="Z293" s="6">
        <f ca="1">('TUSD BE'!$AM$50+'TUSD BF'!$AM$50+'TUSD CVA'!$AM$50)*1</f>
        <v>554.62961180448519</v>
      </c>
      <c r="AA293" s="6">
        <f>('TE BE'!$AA$40+'TE BF'!$AA$40+'TE CVA'!$AA$40)*1</f>
        <v>119.67123861510339</v>
      </c>
      <c r="AB293" s="6">
        <f>$K$293*$V$293</f>
        <v>0</v>
      </c>
      <c r="AC293" s="6">
        <f>$M$293*$W$293</f>
        <v>22404.412439999996</v>
      </c>
      <c r="AD293" s="6">
        <f>$O$293*$X$293</f>
        <v>5486.9205599999996</v>
      </c>
      <c r="AE293" s="6">
        <f>$K$293*$Y$293</f>
        <v>0</v>
      </c>
      <c r="AF293" s="6">
        <f ca="1">$M$293*$Z$293</f>
        <v>28462.482418582571</v>
      </c>
      <c r="AG293" s="6">
        <f>$O$293*$AA$293</f>
        <v>6141.2886232498759</v>
      </c>
    </row>
    <row r="294" spans="1:33" ht="11.25" customHeight="1" x14ac:dyDescent="0.3">
      <c r="A294" s="4" t="s">
        <v>21</v>
      </c>
      <c r="B294" s="4" t="s">
        <v>43</v>
      </c>
      <c r="C294" s="4" t="s">
        <v>23</v>
      </c>
      <c r="D294" s="4" t="s">
        <v>44</v>
      </c>
      <c r="E294" s="4" t="s">
        <v>45</v>
      </c>
      <c r="F294" s="4" t="s">
        <v>25</v>
      </c>
      <c r="G294" s="4" t="s">
        <v>25</v>
      </c>
      <c r="H294" s="4" t="s">
        <v>25</v>
      </c>
      <c r="I294" s="5">
        <v>44501</v>
      </c>
      <c r="J294" s="6">
        <v>0</v>
      </c>
      <c r="K294" s="6">
        <v>0</v>
      </c>
      <c r="L294" s="6">
        <v>52.271999999999998</v>
      </c>
      <c r="M294" s="6">
        <v>52.271999999999998</v>
      </c>
      <c r="N294" s="6">
        <v>52.271999999999998</v>
      </c>
      <c r="O294" s="6">
        <v>52.271999999999998</v>
      </c>
      <c r="P294" s="6">
        <v>4</v>
      </c>
      <c r="Q294" s="4" t="s">
        <v>26</v>
      </c>
      <c r="R294" s="4">
        <v>0</v>
      </c>
      <c r="S294" s="6">
        <v>0</v>
      </c>
      <c r="T294" s="6">
        <v>51</v>
      </c>
      <c r="U294" s="6">
        <v>2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436.58</v>
      </c>
      <c r="X294" s="6">
        <f>IF(ISERROR(VLOOKUP($U$294,'TAR FIN'!$A$1:$O$85,15,0)),0,VLOOKUP($U$294,'TAR FIN'!$A$1:$O$85,15,0))</f>
        <v>106.92</v>
      </c>
      <c r="Y294" s="6"/>
      <c r="Z294" s="6">
        <f ca="1">('TUSD BE'!$AM$50+'TUSD BF'!$AM$50+'TUSD CVA'!$AM$50)*1</f>
        <v>554.62961180448519</v>
      </c>
      <c r="AA294" s="6">
        <f>('TE BE'!$AA$40+'TE BF'!$AA$40+'TE CVA'!$AA$40)*1</f>
        <v>119.67123861510339</v>
      </c>
      <c r="AB294" s="6">
        <f>$K$294*$V$294</f>
        <v>0</v>
      </c>
      <c r="AC294" s="6">
        <f>$M$294*$W$294</f>
        <v>22820.909759999999</v>
      </c>
      <c r="AD294" s="6">
        <f>$O$294*$X$294</f>
        <v>5588.9222399999999</v>
      </c>
      <c r="AE294" s="6">
        <f>$K$294*$Y$294</f>
        <v>0</v>
      </c>
      <c r="AF294" s="6">
        <f ca="1">$M$294*$Z$294</f>
        <v>28991.59906824405</v>
      </c>
      <c r="AG294" s="6">
        <f>$O$294*$AA$294</f>
        <v>6255.4549848886845</v>
      </c>
    </row>
    <row r="295" spans="1:33" ht="11.25" customHeight="1" x14ac:dyDescent="0.3">
      <c r="A295" s="4" t="s">
        <v>21</v>
      </c>
      <c r="B295" s="4" t="s">
        <v>43</v>
      </c>
      <c r="C295" s="4" t="s">
        <v>23</v>
      </c>
      <c r="D295" s="4" t="s">
        <v>44</v>
      </c>
      <c r="E295" s="4" t="s">
        <v>45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58.875999999999998</v>
      </c>
      <c r="M295" s="6">
        <v>58.875999999999998</v>
      </c>
      <c r="N295" s="6">
        <v>58.875999999999998</v>
      </c>
      <c r="O295" s="6">
        <v>58.875999999999998</v>
      </c>
      <c r="P295" s="6">
        <v>4</v>
      </c>
      <c r="Q295" s="4" t="s">
        <v>26</v>
      </c>
      <c r="R295" s="4">
        <v>0</v>
      </c>
      <c r="S295" s="6">
        <v>0</v>
      </c>
      <c r="T295" s="6">
        <v>51</v>
      </c>
      <c r="U295" s="6">
        <v>2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436.58</v>
      </c>
      <c r="X295" s="6">
        <f>IF(ISERROR(VLOOKUP($U$295,'TAR FIN'!$A$1:$O$85,15,0)),0,VLOOKUP($U$295,'TAR FIN'!$A$1:$O$85,15,0))</f>
        <v>106.92</v>
      </c>
      <c r="Y295" s="6"/>
      <c r="Z295" s="6">
        <f ca="1">('TUSD BE'!$AM$50+'TUSD BF'!$AM$50+'TUSD CVA'!$AM$50)*1</f>
        <v>554.62961180448519</v>
      </c>
      <c r="AA295" s="6">
        <f>('TE BE'!$AA$40+'TE BF'!$AA$40+'TE CVA'!$AA$40)*1</f>
        <v>119.67123861510339</v>
      </c>
      <c r="AB295" s="6">
        <f>$K$295*$V$295</f>
        <v>0</v>
      </c>
      <c r="AC295" s="6">
        <f>$M$295*$W$295</f>
        <v>25704.084079999997</v>
      </c>
      <c r="AD295" s="6">
        <f>$O$295*$X$295</f>
        <v>6295.0219200000001</v>
      </c>
      <c r="AE295" s="6">
        <f>$K$295*$Y$295</f>
        <v>0</v>
      </c>
      <c r="AF295" s="6">
        <f ca="1">$M$295*$Z$295</f>
        <v>32654.373024600867</v>
      </c>
      <c r="AG295" s="6">
        <f>$O$295*$AA$295</f>
        <v>7045.7638447028266</v>
      </c>
    </row>
    <row r="296" spans="1:33" ht="11.25" customHeight="1" x14ac:dyDescent="0.3">
      <c r="A296" s="4" t="s">
        <v>21</v>
      </c>
      <c r="B296" s="4" t="s">
        <v>43</v>
      </c>
      <c r="C296" s="4" t="s">
        <v>23</v>
      </c>
      <c r="D296" s="4" t="s">
        <v>44</v>
      </c>
      <c r="E296" s="4" t="s">
        <v>45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53.69</v>
      </c>
      <c r="M296" s="6">
        <v>53.69</v>
      </c>
      <c r="N296" s="6">
        <v>53.69</v>
      </c>
      <c r="O296" s="6">
        <v>53.69</v>
      </c>
      <c r="P296" s="6">
        <v>4</v>
      </c>
      <c r="Q296" s="4" t="s">
        <v>26</v>
      </c>
      <c r="R296" s="4">
        <v>0</v>
      </c>
      <c r="S296" s="6">
        <v>0</v>
      </c>
      <c r="T296" s="6">
        <v>51</v>
      </c>
      <c r="U296" s="6">
        <v>2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436.58</v>
      </c>
      <c r="X296" s="6">
        <f>IF(ISERROR(VLOOKUP($U$296,'TAR FIN'!$A$1:$O$85,15,0)),0,VLOOKUP($U$296,'TAR FIN'!$A$1:$O$85,15,0))</f>
        <v>106.92</v>
      </c>
      <c r="Y296" s="6"/>
      <c r="Z296" s="6">
        <f ca="1">('TUSD BE'!$AM$50+'TUSD BF'!$AM$50+'TUSD CVA'!$AM$50)*1</f>
        <v>554.62961180448519</v>
      </c>
      <c r="AA296" s="6">
        <f>('TE BE'!$AA$40+'TE BF'!$AA$40+'TE CVA'!$AA$40)*1</f>
        <v>119.67123861510339</v>
      </c>
      <c r="AB296" s="6">
        <f>$K$296*$V$296</f>
        <v>0</v>
      </c>
      <c r="AC296" s="6">
        <f>$M$296*$W$296</f>
        <v>23439.980199999998</v>
      </c>
      <c r="AD296" s="6">
        <f>$O$296*$X$296</f>
        <v>5740.5347999999994</v>
      </c>
      <c r="AE296" s="6">
        <f>$K$296*$Y$296</f>
        <v>0</v>
      </c>
      <c r="AF296" s="6">
        <f ca="1">$M$296*$Z$296</f>
        <v>29778.06385778281</v>
      </c>
      <c r="AG296" s="6">
        <f>$O$296*$AA$296</f>
        <v>6425.1488012449008</v>
      </c>
    </row>
    <row r="297" spans="1:33" ht="11.25" customHeight="1" x14ac:dyDescent="0.3">
      <c r="A297" s="4" t="s">
        <v>21</v>
      </c>
      <c r="B297" s="4" t="s">
        <v>43</v>
      </c>
      <c r="C297" s="4" t="s">
        <v>23</v>
      </c>
      <c r="D297" s="4" t="s">
        <v>44</v>
      </c>
      <c r="E297" s="4" t="s">
        <v>45</v>
      </c>
      <c r="F297" s="4" t="s">
        <v>25</v>
      </c>
      <c r="G297" s="4" t="s">
        <v>25</v>
      </c>
      <c r="H297" s="4" t="s">
        <v>25</v>
      </c>
      <c r="I297" s="5">
        <v>44593</v>
      </c>
      <c r="J297" s="6">
        <v>0</v>
      </c>
      <c r="K297" s="6">
        <v>0</v>
      </c>
      <c r="L297" s="6">
        <v>50.51</v>
      </c>
      <c r="M297" s="6">
        <v>50.51</v>
      </c>
      <c r="N297" s="6">
        <v>50.51</v>
      </c>
      <c r="O297" s="6">
        <v>50.51</v>
      </c>
      <c r="P297" s="6">
        <v>4</v>
      </c>
      <c r="Q297" s="4" t="s">
        <v>26</v>
      </c>
      <c r="R297" s="4">
        <v>0</v>
      </c>
      <c r="S297" s="6">
        <v>0</v>
      </c>
      <c r="T297" s="6">
        <v>51</v>
      </c>
      <c r="U297" s="6">
        <v>2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436.58</v>
      </c>
      <c r="X297" s="6">
        <f>IF(ISERROR(VLOOKUP($U$297,'TAR FIN'!$A$1:$O$85,15,0)),0,VLOOKUP($U$297,'TAR FIN'!$A$1:$O$85,15,0))</f>
        <v>106.92</v>
      </c>
      <c r="Y297" s="6"/>
      <c r="Z297" s="6">
        <f ca="1">('TUSD BE'!$AM$50+'TUSD BF'!$AM$50+'TUSD CVA'!$AM$50)*1</f>
        <v>554.62961180448519</v>
      </c>
      <c r="AA297" s="6">
        <f>('TE BE'!$AA$40+'TE BF'!$AA$40+'TE CVA'!$AA$40)*1</f>
        <v>119.67123861510339</v>
      </c>
      <c r="AB297" s="6">
        <f>$K$297*$V$297</f>
        <v>0</v>
      </c>
      <c r="AC297" s="6">
        <f>$M$297*$W$297</f>
        <v>22051.655799999997</v>
      </c>
      <c r="AD297" s="6">
        <f>$O$297*$X$297</f>
        <v>5400.5291999999999</v>
      </c>
      <c r="AE297" s="6">
        <f>$K$297*$Y$297</f>
        <v>0</v>
      </c>
      <c r="AF297" s="6">
        <f ca="1">$M$297*$Z$297</f>
        <v>28014.341692244547</v>
      </c>
      <c r="AG297" s="6">
        <f>$O$297*$AA$297</f>
        <v>6044.5942624488716</v>
      </c>
    </row>
    <row r="298" spans="1:33" ht="11.25" customHeight="1" x14ac:dyDescent="0.3">
      <c r="A298" s="4" t="s">
        <v>21</v>
      </c>
      <c r="B298" s="4" t="s">
        <v>43</v>
      </c>
      <c r="C298" s="4" t="s">
        <v>23</v>
      </c>
      <c r="D298" s="4" t="s">
        <v>44</v>
      </c>
      <c r="E298" s="4" t="s">
        <v>45</v>
      </c>
      <c r="F298" s="4" t="s">
        <v>25</v>
      </c>
      <c r="G298" s="4" t="s">
        <v>25</v>
      </c>
      <c r="H298" s="4" t="s">
        <v>25</v>
      </c>
      <c r="I298" s="5">
        <v>44621</v>
      </c>
      <c r="J298" s="6">
        <v>0</v>
      </c>
      <c r="K298" s="6">
        <v>0</v>
      </c>
      <c r="L298" s="6">
        <v>58.673999999999999</v>
      </c>
      <c r="M298" s="6">
        <v>58.673999999999999</v>
      </c>
      <c r="N298" s="6">
        <v>58.673999999999999</v>
      </c>
      <c r="O298" s="6">
        <v>58.673999999999999</v>
      </c>
      <c r="P298" s="6">
        <v>4</v>
      </c>
      <c r="Q298" s="4" t="s">
        <v>26</v>
      </c>
      <c r="R298" s="4">
        <v>0</v>
      </c>
      <c r="S298" s="6">
        <v>0</v>
      </c>
      <c r="T298" s="6">
        <v>51</v>
      </c>
      <c r="U298" s="6">
        <v>2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436.58</v>
      </c>
      <c r="X298" s="6">
        <f>IF(ISERROR(VLOOKUP($U$298,'TAR FIN'!$A$1:$O$85,15,0)),0,VLOOKUP($U$298,'TAR FIN'!$A$1:$O$85,15,0))</f>
        <v>106.92</v>
      </c>
      <c r="Y298" s="6"/>
      <c r="Z298" s="6">
        <f ca="1">('TUSD BE'!$AM$50+'TUSD BF'!$AM$50+'TUSD CVA'!$AM$50)*1</f>
        <v>554.62961180448519</v>
      </c>
      <c r="AA298" s="6">
        <f>('TE BE'!$AA$40+'TE BF'!$AA$40+'TE CVA'!$AA$40)*1</f>
        <v>119.67123861510339</v>
      </c>
      <c r="AB298" s="6">
        <f>$K$298*$V$298</f>
        <v>0</v>
      </c>
      <c r="AC298" s="6">
        <f>$M$298*$W$298</f>
        <v>25615.894919999999</v>
      </c>
      <c r="AD298" s="6">
        <f>$O$298*$X$298</f>
        <v>6273.4240799999998</v>
      </c>
      <c r="AE298" s="6">
        <f>$K$298*$Y$298</f>
        <v>0</v>
      </c>
      <c r="AF298" s="6">
        <f ca="1">$M$298*$Z$298</f>
        <v>32542.337843016365</v>
      </c>
      <c r="AG298" s="6">
        <f>$O$298*$AA$298</f>
        <v>7021.5902545025765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C43-3531-49B6-BF42-BC2514D589B3}">
  <dimension ref="A1:AJ299"/>
  <sheetViews>
    <sheetView showGridLines="0" topLeftCell="AD1" workbookViewId="0">
      <selection activeCell="AJ14" sqref="AJ14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1.5546875" style="4" bestFit="1" customWidth="1"/>
    <col min="5" max="5" width="25.109375" style="4" bestFit="1" customWidth="1"/>
    <col min="6" max="6" width="11.4414062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0" width="6.5546875" style="6" bestFit="1" customWidth="1"/>
    <col min="11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19.109375" style="4" bestFit="1" customWidth="1"/>
    <col min="29" max="29" width="20.5546875" style="4" bestFit="1" customWidth="1"/>
    <col min="30" max="30" width="19" style="4" bestFit="1" customWidth="1"/>
    <col min="31" max="31" width="20.44140625" style="4" bestFit="1" customWidth="1"/>
    <col min="32" max="32" width="32.109375" style="4" bestFit="1" customWidth="1"/>
    <col min="33" max="33" width="9.109375" style="4"/>
    <col min="34" max="34" width="32.109375" style="4" bestFit="1" customWidth="1"/>
    <col min="35" max="36" width="8.6640625" style="4" bestFit="1" customWidth="1"/>
    <col min="37" max="16384" width="9.1093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H1" s="52" t="s">
        <v>543</v>
      </c>
      <c r="AI1" s="52" t="s">
        <v>547</v>
      </c>
      <c r="AJ1" s="52" t="s">
        <v>548</v>
      </c>
    </row>
    <row r="2" spans="1:36" ht="11.25" customHeight="1" x14ac:dyDescent="0.3">
      <c r="A2" s="4" t="s">
        <v>21</v>
      </c>
      <c r="B2" s="4" t="s">
        <v>36</v>
      </c>
      <c r="C2" s="4" t="s">
        <v>37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44287</v>
      </c>
      <c r="J2" s="6">
        <v>0</v>
      </c>
      <c r="K2" s="70">
        <v>0</v>
      </c>
      <c r="L2" s="6">
        <v>25.411000000000001</v>
      </c>
      <c r="M2" s="70">
        <v>25.411000000000001</v>
      </c>
      <c r="N2" s="6">
        <v>25.411000000000001</v>
      </c>
      <c r="O2" s="70">
        <v>25.411000000000001</v>
      </c>
      <c r="P2" s="6">
        <v>0</v>
      </c>
      <c r="Q2" s="4" t="s">
        <v>26</v>
      </c>
      <c r="R2" s="4">
        <v>0</v>
      </c>
      <c r="S2" s="4">
        <v>0</v>
      </c>
      <c r="T2" s="4">
        <v>84</v>
      </c>
      <c r="U2" s="4">
        <v>34</v>
      </c>
      <c r="V2" s="70">
        <f>IF(ISERROR(VLOOKUP($S$2,'TAR FIN'!$A$1:$O$85,15,0)),0,VLOOKUP($S$2,'TAR FIN'!$A$1:$O$85,15,0))</f>
        <v>0</v>
      </c>
      <c r="W2" s="70">
        <f>IF(ISERROR(VLOOKUP($T$2,'TAR FIN'!$A$1:$O$85,15,0)),0,VLOOKUP($T$2,'TAR FIN'!$A$1:$O$85,15,0))*(1-0.04)</f>
        <v>118.28159999999998</v>
      </c>
      <c r="X2" s="70">
        <f>IF(ISERROR(VLOOKUP($U$2,'TAR FIN'!$A$1:$O$85,15,0)),0,VLOOKUP($U$2,'TAR FIN'!$A$1:$O$85,15,0))*(1-0.04)</f>
        <v>193.66079999999999</v>
      </c>
      <c r="Y2" s="70"/>
      <c r="Z2" s="70">
        <f ca="1">('TUSD BE'!$AM$12+'TUSD BF'!$AM$12+'TUSD CVA'!$AM$12)*1*(1-0.02)</f>
        <v>132.87150642112147</v>
      </c>
      <c r="AA2" s="70">
        <f>('TE BE'!$AA$6+'TE BF'!$AA$6+'TE CVA'!$AA$6)*1*(1-0.02)</f>
        <v>221.27889404302132</v>
      </c>
      <c r="AB2" s="70">
        <f>(SUBSIDIO!$J$2*SUBSIDIO!$V$2)*(0.04)/(1-0.04)</f>
        <v>0</v>
      </c>
      <c r="AC2" s="70">
        <f>((SUBSIDIO!$L$2*SUBSIDIO!$W$2)+(SUBSIDIO!$N$2*SUBSIDIO!$X$2))*(0.04)/(1-0.04)</f>
        <v>330.28201360000003</v>
      </c>
      <c r="AD2" s="70">
        <f>(SUBSIDIO!$J$2*SUBSIDIO!$Y$2)*(0.02)/(1-0.02)</f>
        <v>0</v>
      </c>
      <c r="AE2" s="70">
        <f ca="1">((SUBSIDIO!$L$2*SUBSIDIO!$Z$2)+(SUBSIDIO!$N$2*SUBSIDIO!$AA$2))*(0.02)/(1-0.02)</f>
        <v>183.65950665702721</v>
      </c>
      <c r="AF2" s="4" t="s">
        <v>544</v>
      </c>
      <c r="AH2" s="53" t="s">
        <v>549</v>
      </c>
      <c r="AI2" s="54">
        <f t="shared" ref="AI2:AI9" si="0">SUMIF($AF$2:$AF$299,AH2,$AB$2:$AB$299)+SUMIF($AF$2:$AF$299,AH2,$AC$2:$AC$299)</f>
        <v>0</v>
      </c>
      <c r="AJ2" s="54">
        <f t="shared" ref="AJ2:AJ9" si="1">SUMIF($AF$2:$AF$299,AH2,$AD$2:$AD$299)+SUMIF($AF$2:$AF$299,AH2,$AE$2:$AE$299)</f>
        <v>0</v>
      </c>
    </row>
    <row r="3" spans="1:36" ht="11.25" customHeight="1" x14ac:dyDescent="0.3">
      <c r="A3" s="4" t="s">
        <v>21</v>
      </c>
      <c r="B3" s="4" t="s">
        <v>36</v>
      </c>
      <c r="C3" s="4" t="s">
        <v>37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44317</v>
      </c>
      <c r="J3" s="6">
        <v>0</v>
      </c>
      <c r="K3" s="70">
        <v>0</v>
      </c>
      <c r="L3" s="6">
        <v>21.896000000000001</v>
      </c>
      <c r="M3" s="70">
        <v>21.896000000000001</v>
      </c>
      <c r="N3" s="6">
        <v>21.896000000000001</v>
      </c>
      <c r="O3" s="70">
        <v>21.896000000000001</v>
      </c>
      <c r="P3" s="6">
        <v>0</v>
      </c>
      <c r="Q3" s="4" t="s">
        <v>26</v>
      </c>
      <c r="R3" s="4">
        <v>0</v>
      </c>
      <c r="S3" s="4">
        <v>0</v>
      </c>
      <c r="T3" s="4">
        <v>84</v>
      </c>
      <c r="U3" s="4">
        <v>34</v>
      </c>
      <c r="V3" s="70">
        <f>IF(ISERROR(VLOOKUP($S$3,'TAR FIN'!$A$1:$O$85,15,0)),0,VLOOKUP($S$3,'TAR FIN'!$A$1:$O$85,15,0))</f>
        <v>0</v>
      </c>
      <c r="W3" s="70">
        <f>IF(ISERROR(VLOOKUP($T$3,'TAR FIN'!$A$1:$O$85,15,0)),0,VLOOKUP($T$3,'TAR FIN'!$A$1:$O$85,15,0))*(1-0.04)</f>
        <v>118.28159999999998</v>
      </c>
      <c r="X3" s="70">
        <f>IF(ISERROR(VLOOKUP($U$3,'TAR FIN'!$A$1:$O$85,15,0)),0,VLOOKUP($U$3,'TAR FIN'!$A$1:$O$85,15,0))*(1-0.04)</f>
        <v>193.66079999999999</v>
      </c>
      <c r="Y3" s="70"/>
      <c r="Z3" s="70">
        <f ca="1">('TUSD BE'!$AM$12+'TUSD BF'!$AM$12+'TUSD CVA'!$AM$12)*1*(1-0.02)</f>
        <v>132.87150642112147</v>
      </c>
      <c r="AA3" s="70">
        <f>('TE BE'!$AA$6+'TE BF'!$AA$6+'TE CVA'!$AA$6)*1*(1-0.02)</f>
        <v>221.27889404302132</v>
      </c>
      <c r="AB3" s="70">
        <f>(SUBSIDIO!$J$3*SUBSIDIO!$V$3)*(0.04)/(1-0.04)</f>
        <v>0</v>
      </c>
      <c r="AC3" s="70">
        <f>((SUBSIDIO!$L$3*SUBSIDIO!$W$3)+(SUBSIDIO!$N$3*SUBSIDIO!$X$3))*(0.04)/(1-0.04)</f>
        <v>284.59544960000005</v>
      </c>
      <c r="AD3" s="70">
        <f>(SUBSIDIO!$J$3*SUBSIDIO!$Y$3)*(0.02)/(1-0.02)</f>
        <v>0</v>
      </c>
      <c r="AE3" s="70">
        <f ca="1">((SUBSIDIO!$L$3*SUBSIDIO!$Z$3)+(SUBSIDIO!$N$3*SUBSIDIO!$AA$3))*(0.02)/(1-0.02)</f>
        <v>158.25463609311984</v>
      </c>
      <c r="AF3" s="4" t="s">
        <v>544</v>
      </c>
      <c r="AH3" s="53" t="s">
        <v>550</v>
      </c>
      <c r="AI3" s="54">
        <f t="shared" si="0"/>
        <v>0</v>
      </c>
      <c r="AJ3" s="54">
        <f t="shared" si="1"/>
        <v>0</v>
      </c>
    </row>
    <row r="4" spans="1:36" ht="11.25" customHeight="1" x14ac:dyDescent="0.3">
      <c r="A4" s="4" t="s">
        <v>21</v>
      </c>
      <c r="B4" s="4" t="s">
        <v>36</v>
      </c>
      <c r="C4" s="4" t="s">
        <v>37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44348</v>
      </c>
      <c r="J4" s="6">
        <v>0</v>
      </c>
      <c r="K4" s="70">
        <v>0</v>
      </c>
      <c r="L4" s="6">
        <v>20.742999999999999</v>
      </c>
      <c r="M4" s="70">
        <v>20.742999999999999</v>
      </c>
      <c r="N4" s="6">
        <v>20.742999999999999</v>
      </c>
      <c r="O4" s="70">
        <v>20.742999999999999</v>
      </c>
      <c r="P4" s="6">
        <v>0</v>
      </c>
      <c r="Q4" s="4" t="s">
        <v>26</v>
      </c>
      <c r="R4" s="4">
        <v>0</v>
      </c>
      <c r="S4" s="4">
        <v>0</v>
      </c>
      <c r="T4" s="4">
        <v>84</v>
      </c>
      <c r="U4" s="4">
        <v>34</v>
      </c>
      <c r="V4" s="70">
        <f>IF(ISERROR(VLOOKUP($S$4,'TAR FIN'!$A$1:$O$85,15,0)),0,VLOOKUP($S$4,'TAR FIN'!$A$1:$O$85,15,0))</f>
        <v>0</v>
      </c>
      <c r="W4" s="70">
        <f>IF(ISERROR(VLOOKUP($T$4,'TAR FIN'!$A$1:$O$85,15,0)),0,VLOOKUP($T$4,'TAR FIN'!$A$1:$O$85,15,0))*(1-0.04)</f>
        <v>118.28159999999998</v>
      </c>
      <c r="X4" s="70">
        <f>IF(ISERROR(VLOOKUP($U$4,'TAR FIN'!$A$1:$O$85,15,0)),0,VLOOKUP($U$4,'TAR FIN'!$A$1:$O$85,15,0))*(1-0.04)</f>
        <v>193.66079999999999</v>
      </c>
      <c r="Y4" s="70"/>
      <c r="Z4" s="70">
        <f ca="1">('TUSD BE'!$AM$12+'TUSD BF'!$AM$12+'TUSD CVA'!$AM$12)*1*(1-0.02)</f>
        <v>132.87150642112147</v>
      </c>
      <c r="AA4" s="70">
        <f>('TE BE'!$AA$6+'TE BF'!$AA$6+'TE CVA'!$AA$6)*1*(1-0.02)</f>
        <v>221.27889404302132</v>
      </c>
      <c r="AB4" s="70">
        <f>(SUBSIDIO!$J$4*SUBSIDIO!$V$4)*(0.04)/(1-0.04)</f>
        <v>0</v>
      </c>
      <c r="AC4" s="70">
        <f>((SUBSIDIO!$L$4*SUBSIDIO!$W$4)+(SUBSIDIO!$N$4*SUBSIDIO!$X$4))*(0.04)/(1-0.04)</f>
        <v>269.60921679999996</v>
      </c>
      <c r="AD4" s="70">
        <f>(SUBSIDIO!$J$4*SUBSIDIO!$Y$4)*(0.02)/(1-0.02)</f>
        <v>0</v>
      </c>
      <c r="AE4" s="70">
        <f ca="1">((SUBSIDIO!$L$4*SUBSIDIO!$Z$4)+(SUBSIDIO!$N$4*SUBSIDIO!$AA$4))*(0.02)/(1-0.02)</f>
        <v>149.92126034342272</v>
      </c>
      <c r="AF4" s="4" t="s">
        <v>544</v>
      </c>
      <c r="AH4" s="53" t="s">
        <v>551</v>
      </c>
      <c r="AI4" s="54">
        <f t="shared" si="0"/>
        <v>0</v>
      </c>
      <c r="AJ4" s="54">
        <f t="shared" si="1"/>
        <v>0</v>
      </c>
    </row>
    <row r="5" spans="1:36" ht="11.25" customHeight="1" x14ac:dyDescent="0.3">
      <c r="A5" s="4" t="s">
        <v>21</v>
      </c>
      <c r="B5" s="4" t="s">
        <v>36</v>
      </c>
      <c r="C5" s="4" t="s">
        <v>37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44378</v>
      </c>
      <c r="J5" s="6">
        <v>0</v>
      </c>
      <c r="K5" s="70">
        <v>0</v>
      </c>
      <c r="L5" s="6">
        <v>18.995000000000001</v>
      </c>
      <c r="M5" s="70">
        <v>18.995000000000001</v>
      </c>
      <c r="N5" s="6">
        <v>18.995000000000001</v>
      </c>
      <c r="O5" s="70">
        <v>18.995000000000001</v>
      </c>
      <c r="P5" s="6">
        <v>0</v>
      </c>
      <c r="Q5" s="4" t="s">
        <v>26</v>
      </c>
      <c r="R5" s="4">
        <v>0</v>
      </c>
      <c r="S5" s="4">
        <v>0</v>
      </c>
      <c r="T5" s="4">
        <v>84</v>
      </c>
      <c r="U5" s="4">
        <v>34</v>
      </c>
      <c r="V5" s="70">
        <f>IF(ISERROR(VLOOKUP($S$5,'TAR FIN'!$A$1:$O$85,15,0)),0,VLOOKUP($S$5,'TAR FIN'!$A$1:$O$85,15,0))</f>
        <v>0</v>
      </c>
      <c r="W5" s="70">
        <f>IF(ISERROR(VLOOKUP($T$5,'TAR FIN'!$A$1:$O$85,15,0)),0,VLOOKUP($T$5,'TAR FIN'!$A$1:$O$85,15,0))*(1-0.04)</f>
        <v>118.28159999999998</v>
      </c>
      <c r="X5" s="70">
        <f>IF(ISERROR(VLOOKUP($U$5,'TAR FIN'!$A$1:$O$85,15,0)),0,VLOOKUP($U$5,'TAR FIN'!$A$1:$O$85,15,0))*(1-0.04)</f>
        <v>193.66079999999999</v>
      </c>
      <c r="Y5" s="70"/>
      <c r="Z5" s="70">
        <f ca="1">('TUSD BE'!$AM$12+'TUSD BF'!$AM$12+'TUSD CVA'!$AM$12)*1*(1-0.02)</f>
        <v>132.87150642112147</v>
      </c>
      <c r="AA5" s="70">
        <f>('TE BE'!$AA$6+'TE BF'!$AA$6+'TE CVA'!$AA$6)*1*(1-0.02)</f>
        <v>221.27889404302132</v>
      </c>
      <c r="AB5" s="70">
        <f>(SUBSIDIO!$J$5*SUBSIDIO!$V$5)*(0.04)/(1-0.04)</f>
        <v>0</v>
      </c>
      <c r="AC5" s="70">
        <f>((SUBSIDIO!$L$5*SUBSIDIO!$W$5)+(SUBSIDIO!$N$5*SUBSIDIO!$X$5))*(0.04)/(1-0.04)</f>
        <v>246.88941199999999</v>
      </c>
      <c r="AD5" s="70">
        <f>(SUBSIDIO!$J$5*SUBSIDIO!$Y$5)*(0.02)/(1-0.02)</f>
        <v>0</v>
      </c>
      <c r="AE5" s="70">
        <f ca="1">((SUBSIDIO!$L$5*SUBSIDIO!$Z$5)+(SUBSIDIO!$N$5*SUBSIDIO!$AA$5))*(0.02)/(1-0.02)</f>
        <v>137.28748687380391</v>
      </c>
      <c r="AF5" s="4" t="s">
        <v>544</v>
      </c>
      <c r="AH5" s="53" t="s">
        <v>546</v>
      </c>
      <c r="AI5" s="54">
        <f t="shared" si="0"/>
        <v>5535.3845130000009</v>
      </c>
      <c r="AJ5" s="54">
        <f t="shared" ca="1" si="1"/>
        <v>3433.7816608300909</v>
      </c>
    </row>
    <row r="6" spans="1:36" ht="11.25" customHeight="1" x14ac:dyDescent="0.3">
      <c r="A6" s="4" t="s">
        <v>21</v>
      </c>
      <c r="B6" s="4" t="s">
        <v>36</v>
      </c>
      <c r="C6" s="4" t="s">
        <v>37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44409</v>
      </c>
      <c r="J6" s="6">
        <v>0</v>
      </c>
      <c r="K6" s="70">
        <v>0</v>
      </c>
      <c r="L6" s="6">
        <v>19.219000000000001</v>
      </c>
      <c r="M6" s="70">
        <v>19.219000000000001</v>
      </c>
      <c r="N6" s="6">
        <v>19.219000000000001</v>
      </c>
      <c r="O6" s="70">
        <v>19.219000000000001</v>
      </c>
      <c r="P6" s="6">
        <v>0</v>
      </c>
      <c r="Q6" s="4" t="s">
        <v>26</v>
      </c>
      <c r="R6" s="4">
        <v>0</v>
      </c>
      <c r="S6" s="4">
        <v>0</v>
      </c>
      <c r="T6" s="4">
        <v>84</v>
      </c>
      <c r="U6" s="4">
        <v>34</v>
      </c>
      <c r="V6" s="70">
        <f>IF(ISERROR(VLOOKUP($S$6,'TAR FIN'!$A$1:$O$85,15,0)),0,VLOOKUP($S$6,'TAR FIN'!$A$1:$O$85,15,0))</f>
        <v>0</v>
      </c>
      <c r="W6" s="70">
        <f>IF(ISERROR(VLOOKUP($T$6,'TAR FIN'!$A$1:$O$85,15,0)),0,VLOOKUP($T$6,'TAR FIN'!$A$1:$O$85,15,0))*(1-0.04)</f>
        <v>118.28159999999998</v>
      </c>
      <c r="X6" s="70">
        <f>IF(ISERROR(VLOOKUP($U$6,'TAR FIN'!$A$1:$O$85,15,0)),0,VLOOKUP($U$6,'TAR FIN'!$A$1:$O$85,15,0))*(1-0.04)</f>
        <v>193.66079999999999</v>
      </c>
      <c r="Y6" s="70"/>
      <c r="Z6" s="70">
        <f ca="1">('TUSD BE'!$AM$12+'TUSD BF'!$AM$12+'TUSD CVA'!$AM$12)*1*(1-0.02)</f>
        <v>132.87150642112147</v>
      </c>
      <c r="AA6" s="70">
        <f>('TE BE'!$AA$6+'TE BF'!$AA$6+'TE CVA'!$AA$6)*1*(1-0.02)</f>
        <v>221.27889404302132</v>
      </c>
      <c r="AB6" s="70">
        <f>(SUBSIDIO!$J$6*SUBSIDIO!$V$6)*(0.04)/(1-0.04)</f>
        <v>0</v>
      </c>
      <c r="AC6" s="70">
        <f>((SUBSIDIO!$L$6*SUBSIDIO!$W$6)+(SUBSIDIO!$N$6*SUBSIDIO!$X$6))*(0.04)/(1-0.04)</f>
        <v>249.80087440000003</v>
      </c>
      <c r="AD6" s="70">
        <f>(SUBSIDIO!$J$6*SUBSIDIO!$Y$6)*(0.02)/(1-0.02)</f>
        <v>0</v>
      </c>
      <c r="AE6" s="70">
        <f ca="1">((SUBSIDIO!$L$6*SUBSIDIO!$Z$6)+(SUBSIDIO!$N$6*SUBSIDIO!$AA$6))*(0.02)/(1-0.02)</f>
        <v>138.90646013306858</v>
      </c>
      <c r="AF6" s="4" t="s">
        <v>544</v>
      </c>
      <c r="AH6" s="53" t="s">
        <v>544</v>
      </c>
      <c r="AI6" s="54">
        <f t="shared" si="0"/>
        <v>191364.72902080009</v>
      </c>
      <c r="AJ6" s="54">
        <f t="shared" ca="1" si="1"/>
        <v>118645.75087056959</v>
      </c>
    </row>
    <row r="7" spans="1:36" ht="11.25" customHeight="1" x14ac:dyDescent="0.3">
      <c r="A7" s="4" t="s">
        <v>21</v>
      </c>
      <c r="B7" s="4" t="s">
        <v>36</v>
      </c>
      <c r="C7" s="4" t="s">
        <v>37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44440</v>
      </c>
      <c r="J7" s="6">
        <v>0</v>
      </c>
      <c r="K7" s="70">
        <v>0</v>
      </c>
      <c r="L7" s="6">
        <v>20.25</v>
      </c>
      <c r="M7" s="70">
        <v>20.25</v>
      </c>
      <c r="N7" s="6">
        <v>20.25</v>
      </c>
      <c r="O7" s="70">
        <v>20.25</v>
      </c>
      <c r="P7" s="6">
        <v>0</v>
      </c>
      <c r="Q7" s="4" t="s">
        <v>26</v>
      </c>
      <c r="R7" s="4">
        <v>0</v>
      </c>
      <c r="S7" s="4">
        <v>0</v>
      </c>
      <c r="T7" s="4">
        <v>84</v>
      </c>
      <c r="U7" s="4">
        <v>34</v>
      </c>
      <c r="V7" s="70">
        <f>IF(ISERROR(VLOOKUP($S$7,'TAR FIN'!$A$1:$O$85,15,0)),0,VLOOKUP($S$7,'TAR FIN'!$A$1:$O$85,15,0))</f>
        <v>0</v>
      </c>
      <c r="W7" s="70">
        <f>IF(ISERROR(VLOOKUP($T$7,'TAR FIN'!$A$1:$O$85,15,0)),0,VLOOKUP($T$7,'TAR FIN'!$A$1:$O$85,15,0))*(1-0.04)</f>
        <v>118.28159999999998</v>
      </c>
      <c r="X7" s="70">
        <f>IF(ISERROR(VLOOKUP($U$7,'TAR FIN'!$A$1:$O$85,15,0)),0,VLOOKUP($U$7,'TAR FIN'!$A$1:$O$85,15,0))*(1-0.04)</f>
        <v>193.66079999999999</v>
      </c>
      <c r="Y7" s="70"/>
      <c r="Z7" s="70">
        <f ca="1">('TUSD BE'!$AM$12+'TUSD BF'!$AM$12+'TUSD CVA'!$AM$12)*1*(1-0.02)</f>
        <v>132.87150642112147</v>
      </c>
      <c r="AA7" s="70">
        <f>('TE BE'!$AA$6+'TE BF'!$AA$6+'TE CVA'!$AA$6)*1*(1-0.02)</f>
        <v>221.27889404302132</v>
      </c>
      <c r="AB7" s="70">
        <f>(SUBSIDIO!$J$7*SUBSIDIO!$V$7)*(0.04)/(1-0.04)</f>
        <v>0</v>
      </c>
      <c r="AC7" s="70">
        <f>((SUBSIDIO!$L$7*SUBSIDIO!$W$7)+(SUBSIDIO!$N$7*SUBSIDIO!$X$7))*(0.04)/(1-0.04)</f>
        <v>263.20140000000004</v>
      </c>
      <c r="AD7" s="70">
        <f>(SUBSIDIO!$J$7*SUBSIDIO!$Y$7)*(0.02)/(1-0.02)</f>
        <v>0</v>
      </c>
      <c r="AE7" s="70">
        <f ca="1">((SUBSIDIO!$L$7*SUBSIDIO!$Z$7)+(SUBSIDIO!$N$7*SUBSIDIO!$AA$7))*(0.02)/(1-0.02)</f>
        <v>146.35807366120187</v>
      </c>
      <c r="AF7" s="4" t="s">
        <v>544</v>
      </c>
      <c r="AH7" s="53" t="s">
        <v>552</v>
      </c>
      <c r="AI7" s="54">
        <f t="shared" si="0"/>
        <v>0</v>
      </c>
      <c r="AJ7" s="54">
        <f t="shared" si="1"/>
        <v>0</v>
      </c>
    </row>
    <row r="8" spans="1:36" ht="11.25" customHeight="1" x14ac:dyDescent="0.3">
      <c r="A8" s="4" t="s">
        <v>21</v>
      </c>
      <c r="B8" s="4" t="s">
        <v>36</v>
      </c>
      <c r="C8" s="4" t="s">
        <v>37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44470</v>
      </c>
      <c r="J8" s="6">
        <v>0</v>
      </c>
      <c r="K8" s="70">
        <v>0</v>
      </c>
      <c r="L8" s="6">
        <v>21.521000000000001</v>
      </c>
      <c r="M8" s="70">
        <v>21.521000000000001</v>
      </c>
      <c r="N8" s="6">
        <v>21.521000000000001</v>
      </c>
      <c r="O8" s="70">
        <v>21.521000000000001</v>
      </c>
      <c r="P8" s="6">
        <v>0</v>
      </c>
      <c r="Q8" s="4" t="s">
        <v>26</v>
      </c>
      <c r="R8" s="4">
        <v>0</v>
      </c>
      <c r="S8" s="4">
        <v>0</v>
      </c>
      <c r="T8" s="4">
        <v>84</v>
      </c>
      <c r="U8" s="4">
        <v>34</v>
      </c>
      <c r="V8" s="70">
        <f>IF(ISERROR(VLOOKUP($S$8,'TAR FIN'!$A$1:$O$85,15,0)),0,VLOOKUP($S$8,'TAR FIN'!$A$1:$O$85,15,0))</f>
        <v>0</v>
      </c>
      <c r="W8" s="70">
        <f>IF(ISERROR(VLOOKUP($T$8,'TAR FIN'!$A$1:$O$85,15,0)),0,VLOOKUP($T$8,'TAR FIN'!$A$1:$O$85,15,0))*(1-0.04)</f>
        <v>118.28159999999998</v>
      </c>
      <c r="X8" s="70">
        <f>IF(ISERROR(VLOOKUP($U$8,'TAR FIN'!$A$1:$O$85,15,0)),0,VLOOKUP($U$8,'TAR FIN'!$A$1:$O$85,15,0))*(1-0.04)</f>
        <v>193.66079999999999</v>
      </c>
      <c r="Y8" s="70"/>
      <c r="Z8" s="70">
        <f ca="1">('TUSD BE'!$AM$12+'TUSD BF'!$AM$12+'TUSD CVA'!$AM$12)*1*(1-0.02)</f>
        <v>132.87150642112147</v>
      </c>
      <c r="AA8" s="70">
        <f>('TE BE'!$AA$6+'TE BF'!$AA$6+'TE CVA'!$AA$6)*1*(1-0.02)</f>
        <v>221.27889404302132</v>
      </c>
      <c r="AB8" s="70">
        <f>(SUBSIDIO!$J$8*SUBSIDIO!$V$8)*(0.04)/(1-0.04)</f>
        <v>0</v>
      </c>
      <c r="AC8" s="70">
        <f>((SUBSIDIO!$L$8*SUBSIDIO!$W$8)+(SUBSIDIO!$N$8*SUBSIDIO!$X$8))*(0.04)/(1-0.04)</f>
        <v>279.7213496</v>
      </c>
      <c r="AD8" s="70">
        <f>(SUBSIDIO!$J$8*SUBSIDIO!$Y$8)*(0.02)/(1-0.02)</f>
        <v>0</v>
      </c>
      <c r="AE8" s="70">
        <f ca="1">((SUBSIDIO!$L$8*SUBSIDIO!$Z$8)+(SUBSIDIO!$N$8*SUBSIDIO!$AA$8))*(0.02)/(1-0.02)</f>
        <v>155.54430139569013</v>
      </c>
      <c r="AF8" s="4" t="s">
        <v>544</v>
      </c>
      <c r="AH8" s="53" t="s">
        <v>545</v>
      </c>
      <c r="AI8" s="54">
        <f t="shared" si="0"/>
        <v>53299.877459999996</v>
      </c>
      <c r="AJ8" s="54">
        <f t="shared" ca="1" si="1"/>
        <v>66840.705725787004</v>
      </c>
    </row>
    <row r="9" spans="1:36" ht="11.25" customHeight="1" x14ac:dyDescent="0.3">
      <c r="A9" s="4" t="s">
        <v>21</v>
      </c>
      <c r="B9" s="4" t="s">
        <v>36</v>
      </c>
      <c r="C9" s="4" t="s">
        <v>37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44501</v>
      </c>
      <c r="J9" s="6">
        <v>0</v>
      </c>
      <c r="K9" s="70">
        <v>0</v>
      </c>
      <c r="L9" s="6">
        <v>23.323</v>
      </c>
      <c r="M9" s="70">
        <v>23.323</v>
      </c>
      <c r="N9" s="6">
        <v>23.323</v>
      </c>
      <c r="O9" s="70">
        <v>23.323</v>
      </c>
      <c r="P9" s="6">
        <v>0</v>
      </c>
      <c r="Q9" s="4" t="s">
        <v>26</v>
      </c>
      <c r="R9" s="4">
        <v>0</v>
      </c>
      <c r="S9" s="4">
        <v>0</v>
      </c>
      <c r="T9" s="4">
        <v>84</v>
      </c>
      <c r="U9" s="4">
        <v>34</v>
      </c>
      <c r="V9" s="70">
        <f>IF(ISERROR(VLOOKUP($S$9,'TAR FIN'!$A$1:$O$85,15,0)),0,VLOOKUP($S$9,'TAR FIN'!$A$1:$O$85,15,0))</f>
        <v>0</v>
      </c>
      <c r="W9" s="70">
        <f>IF(ISERROR(VLOOKUP($T$9,'TAR FIN'!$A$1:$O$85,15,0)),0,VLOOKUP($T$9,'TAR FIN'!$A$1:$O$85,15,0))*(1-0.04)</f>
        <v>118.28159999999998</v>
      </c>
      <c r="X9" s="70">
        <f>IF(ISERROR(VLOOKUP($U$9,'TAR FIN'!$A$1:$O$85,15,0)),0,VLOOKUP($U$9,'TAR FIN'!$A$1:$O$85,15,0))*(1-0.04)</f>
        <v>193.66079999999999</v>
      </c>
      <c r="Y9" s="70"/>
      <c r="Z9" s="70">
        <f ca="1">('TUSD BE'!$AM$12+'TUSD BF'!$AM$12+'TUSD CVA'!$AM$12)*1*(1-0.02)</f>
        <v>132.87150642112147</v>
      </c>
      <c r="AA9" s="70">
        <f>('TE BE'!$AA$6+'TE BF'!$AA$6+'TE CVA'!$AA$6)*1*(1-0.02)</f>
        <v>221.27889404302132</v>
      </c>
      <c r="AB9" s="70">
        <f>(SUBSIDIO!$J$9*SUBSIDIO!$V$9)*(0.04)/(1-0.04)</f>
        <v>0</v>
      </c>
      <c r="AC9" s="70">
        <f>((SUBSIDIO!$L$9*SUBSIDIO!$W$9)+(SUBSIDIO!$N$9*SUBSIDIO!$X$9))*(0.04)/(1-0.04)</f>
        <v>303.14302480000003</v>
      </c>
      <c r="AD9" s="70">
        <f>(SUBSIDIO!$J$9*SUBSIDIO!$Y$9)*(0.02)/(1-0.02)</f>
        <v>0</v>
      </c>
      <c r="AE9" s="70">
        <f ca="1">((SUBSIDIO!$L$9*SUBSIDIO!$Z$9)+(SUBSIDIO!$N$9*SUBSIDIO!$AA$9))*(0.02)/(1-0.02)</f>
        <v>168.56836306173884</v>
      </c>
      <c r="AF9" s="4" t="s">
        <v>544</v>
      </c>
      <c r="AH9" s="53" t="s">
        <v>553</v>
      </c>
      <c r="AI9" s="54">
        <f t="shared" si="0"/>
        <v>0</v>
      </c>
      <c r="AJ9" s="54">
        <f t="shared" si="1"/>
        <v>0</v>
      </c>
    </row>
    <row r="10" spans="1:36" ht="11.25" customHeight="1" x14ac:dyDescent="0.3">
      <c r="A10" s="4" t="s">
        <v>21</v>
      </c>
      <c r="B10" s="4" t="s">
        <v>36</v>
      </c>
      <c r="C10" s="4" t="s">
        <v>37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25</v>
      </c>
      <c r="I10" s="5">
        <v>44287</v>
      </c>
      <c r="J10" s="6">
        <v>125</v>
      </c>
      <c r="K10" s="70">
        <v>125</v>
      </c>
      <c r="L10" s="6">
        <v>0</v>
      </c>
      <c r="M10" s="70">
        <v>0</v>
      </c>
      <c r="N10" s="6">
        <v>0</v>
      </c>
      <c r="O10" s="70">
        <v>0</v>
      </c>
      <c r="P10" s="6">
        <v>1</v>
      </c>
      <c r="Q10" s="4" t="s">
        <v>26</v>
      </c>
      <c r="R10" s="4">
        <v>0</v>
      </c>
      <c r="S10" s="4">
        <v>80</v>
      </c>
      <c r="T10" s="4">
        <v>0</v>
      </c>
      <c r="U10" s="4">
        <v>0</v>
      </c>
      <c r="V10" s="70">
        <f>IF(ISERROR(VLOOKUP($S$10,'TAR FIN'!$A$1:$O$85,15,0)),0,VLOOKUP($S$10,'TAR FIN'!$A$1:$O$85,15,0))*(1-0.04)</f>
        <v>50.956799999999994</v>
      </c>
      <c r="W10" s="70">
        <f>IF(ISERROR(VLOOKUP($T$10,'TAR FIN'!$A$1:$O$85,15,0)),0,VLOOKUP($T$10,'TAR FIN'!$A$1:$O$85,15,0))</f>
        <v>0</v>
      </c>
      <c r="X10" s="70">
        <f>IF(ISERROR(VLOOKUP($U$10,'TAR FIN'!$A$1:$O$85,15,0)),0,VLOOKUP($U$10,'TAR FIN'!$A$1:$O$85,15,0))</f>
        <v>0</v>
      </c>
      <c r="Y10" s="70">
        <f ca="1">('TUSD BE'!$AM$10+'TUSD BF'!$AM$10+'TUSD CVA'!$AM$10)*1*(1-0.02)</f>
        <v>67.479178091514612</v>
      </c>
      <c r="Z10" s="70"/>
      <c r="AA10" s="70"/>
      <c r="AB10" s="70">
        <f>(SUBSIDIO!$J$10*SUBSIDIO!$V$10)*(0.04)/(1-0.04)</f>
        <v>265.39999999999998</v>
      </c>
      <c r="AC10" s="70">
        <f>((SUBSIDIO!$L$10*SUBSIDIO!$W$10)+(SUBSIDIO!$N$10*SUBSIDIO!$X$10))*(0.04)/(1-0.04)</f>
        <v>0</v>
      </c>
      <c r="AD10" s="70">
        <f ca="1">(SUBSIDIO!$J$10*SUBSIDIO!$Y$10)*(0.02)/(1-0.02)</f>
        <v>172.14076043753727</v>
      </c>
      <c r="AE10" s="70">
        <f>((SUBSIDIO!$L$10*SUBSIDIO!$Z$10)+(SUBSIDIO!$N$10*SUBSIDIO!$AA$10))*(0.02)/(1-0.02)</f>
        <v>0</v>
      </c>
      <c r="AF10" s="4" t="s">
        <v>544</v>
      </c>
    </row>
    <row r="11" spans="1:36" ht="11.25" customHeight="1" x14ac:dyDescent="0.3">
      <c r="A11" s="4" t="s">
        <v>21</v>
      </c>
      <c r="B11" s="4" t="s">
        <v>36</v>
      </c>
      <c r="C11" s="4" t="s">
        <v>37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25</v>
      </c>
      <c r="I11" s="5">
        <v>44317</v>
      </c>
      <c r="J11" s="6">
        <v>125</v>
      </c>
      <c r="K11" s="70">
        <v>125</v>
      </c>
      <c r="L11" s="6">
        <v>0</v>
      </c>
      <c r="M11" s="70">
        <v>0</v>
      </c>
      <c r="N11" s="6">
        <v>0</v>
      </c>
      <c r="O11" s="70">
        <v>0</v>
      </c>
      <c r="P11" s="6">
        <v>1</v>
      </c>
      <c r="Q11" s="4" t="s">
        <v>26</v>
      </c>
      <c r="R11" s="4">
        <v>0</v>
      </c>
      <c r="S11" s="4">
        <v>80</v>
      </c>
      <c r="T11" s="4">
        <v>0</v>
      </c>
      <c r="U11" s="4">
        <v>0</v>
      </c>
      <c r="V11" s="70">
        <f>IF(ISERROR(VLOOKUP($S$11,'TAR FIN'!$A$1:$O$85,15,0)),0,VLOOKUP($S$11,'TAR FIN'!$A$1:$O$85,15,0))*(1-0.04)</f>
        <v>50.956799999999994</v>
      </c>
      <c r="W11" s="70">
        <f>IF(ISERROR(VLOOKUP($T$11,'TAR FIN'!$A$1:$O$85,15,0)),0,VLOOKUP($T$11,'TAR FIN'!$A$1:$O$85,15,0))</f>
        <v>0</v>
      </c>
      <c r="X11" s="70">
        <f>IF(ISERROR(VLOOKUP($U$11,'TAR FIN'!$A$1:$O$85,15,0)),0,VLOOKUP($U$11,'TAR FIN'!$A$1:$O$85,15,0))</f>
        <v>0</v>
      </c>
      <c r="Y11" s="70">
        <f ca="1">('TUSD BE'!$AM$10+'TUSD BF'!$AM$10+'TUSD CVA'!$AM$10)*1*(1-0.02)</f>
        <v>67.479178091514612</v>
      </c>
      <c r="Z11" s="70"/>
      <c r="AA11" s="70"/>
      <c r="AB11" s="70">
        <f>(SUBSIDIO!$J$11*SUBSIDIO!$V$11)*(0.04)/(1-0.04)</f>
        <v>265.39999999999998</v>
      </c>
      <c r="AC11" s="70">
        <f>((SUBSIDIO!$L$11*SUBSIDIO!$W$11)+(SUBSIDIO!$N$11*SUBSIDIO!$X$11))*(0.04)/(1-0.04)</f>
        <v>0</v>
      </c>
      <c r="AD11" s="70">
        <f ca="1">(SUBSIDIO!$J$11*SUBSIDIO!$Y$11)*(0.02)/(1-0.02)</f>
        <v>172.14076043753727</v>
      </c>
      <c r="AE11" s="70">
        <f>((SUBSIDIO!$L$11*SUBSIDIO!$Z$11)+(SUBSIDIO!$N$11*SUBSIDIO!$AA$11))*(0.02)/(1-0.02)</f>
        <v>0</v>
      </c>
      <c r="AF11" s="4" t="s">
        <v>544</v>
      </c>
    </row>
    <row r="12" spans="1:36" ht="11.25" customHeight="1" x14ac:dyDescent="0.3">
      <c r="A12" s="4" t="s">
        <v>21</v>
      </c>
      <c r="B12" s="4" t="s">
        <v>36</v>
      </c>
      <c r="C12" s="4" t="s">
        <v>37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25</v>
      </c>
      <c r="I12" s="5">
        <v>44348</v>
      </c>
      <c r="J12" s="6">
        <v>125</v>
      </c>
      <c r="K12" s="70">
        <v>125</v>
      </c>
      <c r="L12" s="6">
        <v>0</v>
      </c>
      <c r="M12" s="70">
        <v>0</v>
      </c>
      <c r="N12" s="6">
        <v>0</v>
      </c>
      <c r="O12" s="70">
        <v>0</v>
      </c>
      <c r="P12" s="6">
        <v>1</v>
      </c>
      <c r="Q12" s="4" t="s">
        <v>26</v>
      </c>
      <c r="R12" s="4">
        <v>0</v>
      </c>
      <c r="S12" s="4">
        <v>80</v>
      </c>
      <c r="T12" s="4">
        <v>0</v>
      </c>
      <c r="U12" s="4">
        <v>0</v>
      </c>
      <c r="V12" s="70">
        <f>IF(ISERROR(VLOOKUP($S$12,'TAR FIN'!$A$1:$O$85,15,0)),0,VLOOKUP($S$12,'TAR FIN'!$A$1:$O$85,15,0))*(1-0.04)</f>
        <v>50.956799999999994</v>
      </c>
      <c r="W12" s="70">
        <f>IF(ISERROR(VLOOKUP($T$12,'TAR FIN'!$A$1:$O$85,15,0)),0,VLOOKUP($T$12,'TAR FIN'!$A$1:$O$85,15,0))</f>
        <v>0</v>
      </c>
      <c r="X12" s="70">
        <f>IF(ISERROR(VLOOKUP($U$12,'TAR FIN'!$A$1:$O$85,15,0)),0,VLOOKUP($U$12,'TAR FIN'!$A$1:$O$85,15,0))</f>
        <v>0</v>
      </c>
      <c r="Y12" s="70">
        <f ca="1">('TUSD BE'!$AM$10+'TUSD BF'!$AM$10+'TUSD CVA'!$AM$10)*1*(1-0.02)</f>
        <v>67.479178091514612</v>
      </c>
      <c r="Z12" s="70"/>
      <c r="AA12" s="70"/>
      <c r="AB12" s="70">
        <f>(SUBSIDIO!$J$12*SUBSIDIO!$V$12)*(0.04)/(1-0.04)</f>
        <v>265.39999999999998</v>
      </c>
      <c r="AC12" s="70">
        <f>((SUBSIDIO!$L$12*SUBSIDIO!$W$12)+(SUBSIDIO!$N$12*SUBSIDIO!$X$12))*(0.04)/(1-0.04)</f>
        <v>0</v>
      </c>
      <c r="AD12" s="70">
        <f ca="1">(SUBSIDIO!$J$12*SUBSIDIO!$Y$12)*(0.02)/(1-0.02)</f>
        <v>172.14076043753727</v>
      </c>
      <c r="AE12" s="70">
        <f>((SUBSIDIO!$L$12*SUBSIDIO!$Z$12)+(SUBSIDIO!$N$12*SUBSIDIO!$AA$12))*(0.02)/(1-0.02)</f>
        <v>0</v>
      </c>
      <c r="AF12" s="4" t="s">
        <v>544</v>
      </c>
    </row>
    <row r="13" spans="1:36" ht="11.25" customHeight="1" x14ac:dyDescent="0.3">
      <c r="A13" s="4" t="s">
        <v>21</v>
      </c>
      <c r="B13" s="4" t="s">
        <v>36</v>
      </c>
      <c r="C13" s="4" t="s">
        <v>37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25</v>
      </c>
      <c r="I13" s="5">
        <v>44378</v>
      </c>
      <c r="J13" s="6">
        <v>125</v>
      </c>
      <c r="K13" s="70">
        <v>125</v>
      </c>
      <c r="L13" s="6">
        <v>0</v>
      </c>
      <c r="M13" s="70">
        <v>0</v>
      </c>
      <c r="N13" s="6">
        <v>0</v>
      </c>
      <c r="O13" s="70">
        <v>0</v>
      </c>
      <c r="P13" s="6">
        <v>1</v>
      </c>
      <c r="Q13" s="4" t="s">
        <v>26</v>
      </c>
      <c r="R13" s="4">
        <v>0</v>
      </c>
      <c r="S13" s="4">
        <v>80</v>
      </c>
      <c r="T13" s="4">
        <v>0</v>
      </c>
      <c r="U13" s="4">
        <v>0</v>
      </c>
      <c r="V13" s="70">
        <f>IF(ISERROR(VLOOKUP($S$13,'TAR FIN'!$A$1:$O$85,15,0)),0,VLOOKUP($S$13,'TAR FIN'!$A$1:$O$85,15,0))*(1-0.04)</f>
        <v>50.956799999999994</v>
      </c>
      <c r="W13" s="70">
        <f>IF(ISERROR(VLOOKUP($T$13,'TAR FIN'!$A$1:$O$85,15,0)),0,VLOOKUP($T$13,'TAR FIN'!$A$1:$O$85,15,0))</f>
        <v>0</v>
      </c>
      <c r="X13" s="70">
        <f>IF(ISERROR(VLOOKUP($U$13,'TAR FIN'!$A$1:$O$85,15,0)),0,VLOOKUP($U$13,'TAR FIN'!$A$1:$O$85,15,0))</f>
        <v>0</v>
      </c>
      <c r="Y13" s="70">
        <f ca="1">('TUSD BE'!$AM$10+'TUSD BF'!$AM$10+'TUSD CVA'!$AM$10)*1*(1-0.02)</f>
        <v>67.479178091514612</v>
      </c>
      <c r="Z13" s="70"/>
      <c r="AA13" s="70"/>
      <c r="AB13" s="70">
        <f>(SUBSIDIO!$J$13*SUBSIDIO!$V$13)*(0.04)/(1-0.04)</f>
        <v>265.39999999999998</v>
      </c>
      <c r="AC13" s="70">
        <f>((SUBSIDIO!$L$13*SUBSIDIO!$W$13)+(SUBSIDIO!$N$13*SUBSIDIO!$X$13))*(0.04)/(1-0.04)</f>
        <v>0</v>
      </c>
      <c r="AD13" s="70">
        <f ca="1">(SUBSIDIO!$J$13*SUBSIDIO!$Y$13)*(0.02)/(1-0.02)</f>
        <v>172.14076043753727</v>
      </c>
      <c r="AE13" s="70">
        <f>((SUBSIDIO!$L$13*SUBSIDIO!$Z$13)+(SUBSIDIO!$N$13*SUBSIDIO!$AA$13))*(0.02)/(1-0.02)</f>
        <v>0</v>
      </c>
      <c r="AF13" s="4" t="s">
        <v>544</v>
      </c>
      <c r="AJ13" s="6">
        <f ca="1">SUM(AJ2:AJ9)</f>
        <v>188920.23825718669</v>
      </c>
    </row>
    <row r="14" spans="1:36" ht="11.25" customHeight="1" x14ac:dyDescent="0.3">
      <c r="A14" s="4" t="s">
        <v>21</v>
      </c>
      <c r="B14" s="4" t="s">
        <v>36</v>
      </c>
      <c r="C14" s="4" t="s">
        <v>37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44409</v>
      </c>
      <c r="J14" s="6">
        <v>125</v>
      </c>
      <c r="K14" s="70">
        <v>125</v>
      </c>
      <c r="L14" s="6">
        <v>0</v>
      </c>
      <c r="M14" s="70">
        <v>0</v>
      </c>
      <c r="N14" s="6">
        <v>0</v>
      </c>
      <c r="O14" s="70">
        <v>0</v>
      </c>
      <c r="P14" s="6">
        <v>1</v>
      </c>
      <c r="Q14" s="4" t="s">
        <v>26</v>
      </c>
      <c r="R14" s="4">
        <v>0</v>
      </c>
      <c r="S14" s="4">
        <v>80</v>
      </c>
      <c r="T14" s="4">
        <v>0</v>
      </c>
      <c r="U14" s="4">
        <v>0</v>
      </c>
      <c r="V14" s="70">
        <f>IF(ISERROR(VLOOKUP($S$14,'TAR FIN'!$A$1:$O$85,15,0)),0,VLOOKUP($S$14,'TAR FIN'!$A$1:$O$85,15,0))*(1-0.04)</f>
        <v>50.956799999999994</v>
      </c>
      <c r="W14" s="70">
        <f>IF(ISERROR(VLOOKUP($T$14,'TAR FIN'!$A$1:$O$85,15,0)),0,VLOOKUP($T$14,'TAR FIN'!$A$1:$O$85,15,0))</f>
        <v>0</v>
      </c>
      <c r="X14" s="70">
        <f>IF(ISERROR(VLOOKUP($U$14,'TAR FIN'!$A$1:$O$85,15,0)),0,VLOOKUP($U$14,'TAR FIN'!$A$1:$O$85,15,0))</f>
        <v>0</v>
      </c>
      <c r="Y14" s="70">
        <f ca="1">('TUSD BE'!$AM$10+'TUSD BF'!$AM$10+'TUSD CVA'!$AM$10)*1*(1-0.02)</f>
        <v>67.479178091514612</v>
      </c>
      <c r="Z14" s="70"/>
      <c r="AA14" s="70"/>
      <c r="AB14" s="70">
        <f>(SUBSIDIO!$J$14*SUBSIDIO!$V$14)*(0.04)/(1-0.04)</f>
        <v>265.39999999999998</v>
      </c>
      <c r="AC14" s="70">
        <f>((SUBSIDIO!$L$14*SUBSIDIO!$W$14)+(SUBSIDIO!$N$14*SUBSIDIO!$X$14))*(0.04)/(1-0.04)</f>
        <v>0</v>
      </c>
      <c r="AD14" s="70">
        <f ca="1">(SUBSIDIO!$J$14*SUBSIDIO!$Y$14)*(0.02)/(1-0.02)</f>
        <v>172.14076043753727</v>
      </c>
      <c r="AE14" s="70">
        <f>((SUBSIDIO!$L$14*SUBSIDIO!$Z$14)+(SUBSIDIO!$N$14*SUBSIDIO!$AA$14))*(0.02)/(1-0.02)</f>
        <v>0</v>
      </c>
      <c r="AF14" s="4" t="s">
        <v>544</v>
      </c>
    </row>
    <row r="15" spans="1:36" ht="11.25" customHeight="1" x14ac:dyDescent="0.3">
      <c r="A15" s="4" t="s">
        <v>21</v>
      </c>
      <c r="B15" s="4" t="s">
        <v>36</v>
      </c>
      <c r="C15" s="4" t="s">
        <v>37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44440</v>
      </c>
      <c r="J15" s="6">
        <v>125</v>
      </c>
      <c r="K15" s="70">
        <v>125</v>
      </c>
      <c r="L15" s="6">
        <v>0</v>
      </c>
      <c r="M15" s="70">
        <v>0</v>
      </c>
      <c r="N15" s="6">
        <v>0</v>
      </c>
      <c r="O15" s="70">
        <v>0</v>
      </c>
      <c r="P15" s="6">
        <v>1</v>
      </c>
      <c r="Q15" s="4" t="s">
        <v>26</v>
      </c>
      <c r="R15" s="4">
        <v>0</v>
      </c>
      <c r="S15" s="4">
        <v>80</v>
      </c>
      <c r="T15" s="4">
        <v>0</v>
      </c>
      <c r="U15" s="4">
        <v>0</v>
      </c>
      <c r="V15" s="70">
        <f>IF(ISERROR(VLOOKUP($S$15,'TAR FIN'!$A$1:$O$85,15,0)),0,VLOOKUP($S$15,'TAR FIN'!$A$1:$O$85,15,0))*(1-0.04)</f>
        <v>50.956799999999994</v>
      </c>
      <c r="W15" s="70">
        <f>IF(ISERROR(VLOOKUP($T$15,'TAR FIN'!$A$1:$O$85,15,0)),0,VLOOKUP($T$15,'TAR FIN'!$A$1:$O$85,15,0))</f>
        <v>0</v>
      </c>
      <c r="X15" s="70">
        <f>IF(ISERROR(VLOOKUP($U$15,'TAR FIN'!$A$1:$O$85,15,0)),0,VLOOKUP($U$15,'TAR FIN'!$A$1:$O$85,15,0))</f>
        <v>0</v>
      </c>
      <c r="Y15" s="70">
        <f ca="1">('TUSD BE'!$AM$10+'TUSD BF'!$AM$10+'TUSD CVA'!$AM$10)*1*(1-0.02)</f>
        <v>67.479178091514612</v>
      </c>
      <c r="Z15" s="70"/>
      <c r="AA15" s="70"/>
      <c r="AB15" s="70">
        <f>(SUBSIDIO!$J$15*SUBSIDIO!$V$15)*(0.04)/(1-0.04)</f>
        <v>265.39999999999998</v>
      </c>
      <c r="AC15" s="70">
        <f>((SUBSIDIO!$L$15*SUBSIDIO!$W$15)+(SUBSIDIO!$N$15*SUBSIDIO!$X$15))*(0.04)/(1-0.04)</f>
        <v>0</v>
      </c>
      <c r="AD15" s="70">
        <f ca="1">(SUBSIDIO!$J$15*SUBSIDIO!$Y$15)*(0.02)/(1-0.02)</f>
        <v>172.14076043753727</v>
      </c>
      <c r="AE15" s="70">
        <f>((SUBSIDIO!$L$15*SUBSIDIO!$Z$15)+(SUBSIDIO!$N$15*SUBSIDIO!$AA$15))*(0.02)/(1-0.02)</f>
        <v>0</v>
      </c>
      <c r="AF15" s="4" t="s">
        <v>544</v>
      </c>
    </row>
    <row r="16" spans="1:36" ht="11.25" customHeight="1" x14ac:dyDescent="0.3">
      <c r="A16" s="4" t="s">
        <v>21</v>
      </c>
      <c r="B16" s="4" t="s">
        <v>36</v>
      </c>
      <c r="C16" s="4" t="s">
        <v>37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44470</v>
      </c>
      <c r="J16" s="6">
        <v>125</v>
      </c>
      <c r="K16" s="70">
        <v>125</v>
      </c>
      <c r="L16" s="6">
        <v>0</v>
      </c>
      <c r="M16" s="70">
        <v>0</v>
      </c>
      <c r="N16" s="6">
        <v>0</v>
      </c>
      <c r="O16" s="70">
        <v>0</v>
      </c>
      <c r="P16" s="6">
        <v>1</v>
      </c>
      <c r="Q16" s="4" t="s">
        <v>26</v>
      </c>
      <c r="R16" s="4">
        <v>0</v>
      </c>
      <c r="S16" s="4">
        <v>80</v>
      </c>
      <c r="T16" s="4">
        <v>0</v>
      </c>
      <c r="U16" s="4">
        <v>0</v>
      </c>
      <c r="V16" s="70">
        <f>IF(ISERROR(VLOOKUP($S$16,'TAR FIN'!$A$1:$O$85,15,0)),0,VLOOKUP($S$16,'TAR FIN'!$A$1:$O$85,15,0))*(1-0.04)</f>
        <v>50.956799999999994</v>
      </c>
      <c r="W16" s="70">
        <f>IF(ISERROR(VLOOKUP($T$16,'TAR FIN'!$A$1:$O$85,15,0)),0,VLOOKUP($T$16,'TAR FIN'!$A$1:$O$85,15,0))</f>
        <v>0</v>
      </c>
      <c r="X16" s="70">
        <f>IF(ISERROR(VLOOKUP($U$16,'TAR FIN'!$A$1:$O$85,15,0)),0,VLOOKUP($U$16,'TAR FIN'!$A$1:$O$85,15,0))</f>
        <v>0</v>
      </c>
      <c r="Y16" s="70">
        <f ca="1">('TUSD BE'!$AM$10+'TUSD BF'!$AM$10+'TUSD CVA'!$AM$10)*1*(1-0.02)</f>
        <v>67.479178091514612</v>
      </c>
      <c r="Z16" s="70"/>
      <c r="AA16" s="70"/>
      <c r="AB16" s="70">
        <f>(SUBSIDIO!$J$16*SUBSIDIO!$V$16)*(0.04)/(1-0.04)</f>
        <v>265.39999999999998</v>
      </c>
      <c r="AC16" s="70">
        <f>((SUBSIDIO!$L$16*SUBSIDIO!$W$16)+(SUBSIDIO!$N$16*SUBSIDIO!$X$16))*(0.04)/(1-0.04)</f>
        <v>0</v>
      </c>
      <c r="AD16" s="70">
        <f ca="1">(SUBSIDIO!$J$16*SUBSIDIO!$Y$16)*(0.02)/(1-0.02)</f>
        <v>172.14076043753727</v>
      </c>
      <c r="AE16" s="70">
        <f>((SUBSIDIO!$L$16*SUBSIDIO!$Z$16)+(SUBSIDIO!$N$16*SUBSIDIO!$AA$16))*(0.02)/(1-0.02)</f>
        <v>0</v>
      </c>
      <c r="AF16" s="4" t="s">
        <v>544</v>
      </c>
    </row>
    <row r="17" spans="1:32" ht="11.25" customHeight="1" x14ac:dyDescent="0.3">
      <c r="A17" s="4" t="s">
        <v>21</v>
      </c>
      <c r="B17" s="4" t="s">
        <v>36</v>
      </c>
      <c r="C17" s="4" t="s">
        <v>37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44501</v>
      </c>
      <c r="J17" s="6">
        <v>125</v>
      </c>
      <c r="K17" s="70">
        <v>125</v>
      </c>
      <c r="L17" s="6">
        <v>0</v>
      </c>
      <c r="M17" s="70">
        <v>0</v>
      </c>
      <c r="N17" s="6">
        <v>0</v>
      </c>
      <c r="O17" s="70">
        <v>0</v>
      </c>
      <c r="P17" s="6">
        <v>1</v>
      </c>
      <c r="Q17" s="4" t="s">
        <v>26</v>
      </c>
      <c r="R17" s="4">
        <v>0</v>
      </c>
      <c r="S17" s="4">
        <v>80</v>
      </c>
      <c r="T17" s="4">
        <v>0</v>
      </c>
      <c r="U17" s="4">
        <v>0</v>
      </c>
      <c r="V17" s="70">
        <f>IF(ISERROR(VLOOKUP($S$17,'TAR FIN'!$A$1:$O$85,15,0)),0,VLOOKUP($S$17,'TAR FIN'!$A$1:$O$85,15,0))*(1-0.04)</f>
        <v>50.956799999999994</v>
      </c>
      <c r="W17" s="70">
        <f>IF(ISERROR(VLOOKUP($T$17,'TAR FIN'!$A$1:$O$85,15,0)),0,VLOOKUP($T$17,'TAR FIN'!$A$1:$O$85,15,0))</f>
        <v>0</v>
      </c>
      <c r="X17" s="70">
        <f>IF(ISERROR(VLOOKUP($U$17,'TAR FIN'!$A$1:$O$85,15,0)),0,VLOOKUP($U$17,'TAR FIN'!$A$1:$O$85,15,0))</f>
        <v>0</v>
      </c>
      <c r="Y17" s="70">
        <f ca="1">('TUSD BE'!$AM$10+'TUSD BF'!$AM$10+'TUSD CVA'!$AM$10)*1*(1-0.02)</f>
        <v>67.479178091514612</v>
      </c>
      <c r="Z17" s="70"/>
      <c r="AA17" s="70"/>
      <c r="AB17" s="70">
        <f>(SUBSIDIO!$J$17*SUBSIDIO!$V$17)*(0.04)/(1-0.04)</f>
        <v>265.39999999999998</v>
      </c>
      <c r="AC17" s="70">
        <f>((SUBSIDIO!$L$17*SUBSIDIO!$W$17)+(SUBSIDIO!$N$17*SUBSIDIO!$X$17))*(0.04)/(1-0.04)</f>
        <v>0</v>
      </c>
      <c r="AD17" s="70">
        <f ca="1">(SUBSIDIO!$J$17*SUBSIDIO!$Y$17)*(0.02)/(1-0.02)</f>
        <v>172.14076043753727</v>
      </c>
      <c r="AE17" s="70">
        <f>((SUBSIDIO!$L$17*SUBSIDIO!$Z$17)+(SUBSIDIO!$N$17*SUBSIDIO!$AA$17))*(0.02)/(1-0.02)</f>
        <v>0</v>
      </c>
      <c r="AF17" s="4" t="s">
        <v>544</v>
      </c>
    </row>
    <row r="18" spans="1:32" ht="11.25" customHeight="1" x14ac:dyDescent="0.3">
      <c r="A18" s="4" t="s">
        <v>21</v>
      </c>
      <c r="B18" s="4" t="s">
        <v>36</v>
      </c>
      <c r="C18" s="4" t="s">
        <v>37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44287</v>
      </c>
      <c r="J18" s="6">
        <v>0</v>
      </c>
      <c r="K18" s="70">
        <v>0</v>
      </c>
      <c r="L18" s="6">
        <v>0.378</v>
      </c>
      <c r="M18" s="70">
        <v>0.378</v>
      </c>
      <c r="N18" s="6">
        <v>0.378</v>
      </c>
      <c r="O18" s="70">
        <v>0.378</v>
      </c>
      <c r="P18" s="6">
        <v>0</v>
      </c>
      <c r="Q18" s="4" t="s">
        <v>26</v>
      </c>
      <c r="R18" s="4">
        <v>0</v>
      </c>
      <c r="S18" s="4">
        <v>0</v>
      </c>
      <c r="T18" s="4">
        <v>83</v>
      </c>
      <c r="U18" s="4">
        <v>53</v>
      </c>
      <c r="V18" s="70">
        <f>IF(ISERROR(VLOOKUP($S$18,'TAR FIN'!$A$1:$O$85,15,0)),0,VLOOKUP($S$18,'TAR FIN'!$A$1:$O$85,15,0))</f>
        <v>0</v>
      </c>
      <c r="W18" s="70">
        <f>IF(ISERROR(VLOOKUP($T$18,'TAR FIN'!$A$1:$O$85,15,0)),0,VLOOKUP($T$18,'TAR FIN'!$A$1:$O$85,15,0))*(1-0.04)</f>
        <v>3562.8191999999999</v>
      </c>
      <c r="X18" s="70">
        <f>IF(ISERROR(VLOOKUP($U$18,'TAR FIN'!$A$1:$O$85,15,0)),0,VLOOKUP($U$18,'TAR FIN'!$A$1:$O$85,15,0))*(1-0.04)</f>
        <v>193.66079999999999</v>
      </c>
      <c r="Y18" s="70"/>
      <c r="Z18" s="70">
        <f ca="1">('TUSD BE'!$AM$11+'TUSD BF'!$AM$11+'TUSD CVA'!$AM$11)*1*(1-0.02)</f>
        <v>4755.6250630698214</v>
      </c>
      <c r="AA18" s="70">
        <f>('TE BE'!$AA$5+'TE BF'!$AA$5+'TE CVA'!$AA$5)*1*(1-0.02)</f>
        <v>221.27889404302132</v>
      </c>
      <c r="AB18" s="70">
        <f>(SUBSIDIO!$J$18*SUBSIDIO!$V$18)*(0.04)/(1-0.04)</f>
        <v>0</v>
      </c>
      <c r="AC18" s="70">
        <f>((SUBSIDIO!$L$18*SUBSIDIO!$W$18)+(SUBSIDIO!$N$18*SUBSIDIO!$X$18))*(0.04)/(1-0.04)</f>
        <v>59.164559999999994</v>
      </c>
      <c r="AD18" s="70">
        <f>(SUBSIDIO!$J$18*SUBSIDIO!$Y$18)*(0.02)/(1-0.02)</f>
        <v>0</v>
      </c>
      <c r="AE18" s="70">
        <f ca="1">((SUBSIDIO!$L$18*SUBSIDIO!$Z$18)+(SUBSIDIO!$N$18*SUBSIDIO!$AA$18))*(0.02)/(1-0.02)</f>
        <v>38.39325909772765</v>
      </c>
      <c r="AF18" s="4" t="s">
        <v>544</v>
      </c>
    </row>
    <row r="19" spans="1:32" ht="11.25" customHeight="1" x14ac:dyDescent="0.3">
      <c r="A19" s="4" t="s">
        <v>21</v>
      </c>
      <c r="B19" s="4" t="s">
        <v>36</v>
      </c>
      <c r="C19" s="4" t="s">
        <v>37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44317</v>
      </c>
      <c r="J19" s="6">
        <v>0</v>
      </c>
      <c r="K19" s="70">
        <v>0</v>
      </c>
      <c r="L19" s="6">
        <v>0.38900000000000001</v>
      </c>
      <c r="M19" s="70">
        <v>0.38900000000000001</v>
      </c>
      <c r="N19" s="6">
        <v>0.38900000000000001</v>
      </c>
      <c r="O19" s="70">
        <v>0.38900000000000001</v>
      </c>
      <c r="P19" s="6">
        <v>0</v>
      </c>
      <c r="Q19" s="4" t="s">
        <v>26</v>
      </c>
      <c r="R19" s="4">
        <v>0</v>
      </c>
      <c r="S19" s="4">
        <v>0</v>
      </c>
      <c r="T19" s="4">
        <v>83</v>
      </c>
      <c r="U19" s="4">
        <v>53</v>
      </c>
      <c r="V19" s="70">
        <f>IF(ISERROR(VLOOKUP($S$19,'TAR FIN'!$A$1:$O$85,15,0)),0,VLOOKUP($S$19,'TAR FIN'!$A$1:$O$85,15,0))</f>
        <v>0</v>
      </c>
      <c r="W19" s="70">
        <f>IF(ISERROR(VLOOKUP($T$19,'TAR FIN'!$A$1:$O$85,15,0)),0,VLOOKUP($T$19,'TAR FIN'!$A$1:$O$85,15,0))*(1-0.04)</f>
        <v>3562.8191999999999</v>
      </c>
      <c r="X19" s="70">
        <f>IF(ISERROR(VLOOKUP($U$19,'TAR FIN'!$A$1:$O$85,15,0)),0,VLOOKUP($U$19,'TAR FIN'!$A$1:$O$85,15,0))*(1-0.04)</f>
        <v>193.66079999999999</v>
      </c>
      <c r="Y19" s="70"/>
      <c r="Z19" s="70">
        <f ca="1">('TUSD BE'!$AM$11+'TUSD BF'!$AM$11+'TUSD CVA'!$AM$11)*1*(1-0.02)</f>
        <v>4755.6250630698214</v>
      </c>
      <c r="AA19" s="70">
        <f>('TE BE'!$AA$5+'TE BF'!$AA$5+'TE CVA'!$AA$5)*1*(1-0.02)</f>
        <v>221.27889404302132</v>
      </c>
      <c r="AB19" s="70">
        <f>(SUBSIDIO!$J$19*SUBSIDIO!$V$19)*(0.04)/(1-0.04)</f>
        <v>0</v>
      </c>
      <c r="AC19" s="70">
        <f>((SUBSIDIO!$L$19*SUBSIDIO!$W$19)+(SUBSIDIO!$N$19*SUBSIDIO!$X$19))*(0.04)/(1-0.04)</f>
        <v>60.886280000000006</v>
      </c>
      <c r="AD19" s="70">
        <f>(SUBSIDIO!$J$19*SUBSIDIO!$Y$19)*(0.02)/(1-0.02)</f>
        <v>0</v>
      </c>
      <c r="AE19" s="70">
        <f ca="1">((SUBSIDIO!$L$19*SUBSIDIO!$Z$19)+(SUBSIDIO!$N$19*SUBSIDIO!$AA$19))*(0.02)/(1-0.02)</f>
        <v>39.510523251365228</v>
      </c>
      <c r="AF19" s="4" t="s">
        <v>544</v>
      </c>
    </row>
    <row r="20" spans="1:32" ht="11.25" customHeight="1" x14ac:dyDescent="0.3">
      <c r="A20" s="4" t="s">
        <v>21</v>
      </c>
      <c r="B20" s="4" t="s">
        <v>36</v>
      </c>
      <c r="C20" s="4" t="s">
        <v>37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44348</v>
      </c>
      <c r="J20" s="6">
        <v>0</v>
      </c>
      <c r="K20" s="70">
        <v>0</v>
      </c>
      <c r="L20" s="6">
        <v>0.39800000000000002</v>
      </c>
      <c r="M20" s="70">
        <v>0.39800000000000002</v>
      </c>
      <c r="N20" s="6">
        <v>0.39800000000000002</v>
      </c>
      <c r="O20" s="70">
        <v>0.39800000000000002</v>
      </c>
      <c r="P20" s="6">
        <v>0</v>
      </c>
      <c r="Q20" s="4" t="s">
        <v>26</v>
      </c>
      <c r="R20" s="4">
        <v>0</v>
      </c>
      <c r="S20" s="4">
        <v>0</v>
      </c>
      <c r="T20" s="4">
        <v>83</v>
      </c>
      <c r="U20" s="4">
        <v>53</v>
      </c>
      <c r="V20" s="70">
        <f>IF(ISERROR(VLOOKUP($S$20,'TAR FIN'!$A$1:$O$85,15,0)),0,VLOOKUP($S$20,'TAR FIN'!$A$1:$O$85,15,0))</f>
        <v>0</v>
      </c>
      <c r="W20" s="70">
        <f>IF(ISERROR(VLOOKUP($T$20,'TAR FIN'!$A$1:$O$85,15,0)),0,VLOOKUP($T$20,'TAR FIN'!$A$1:$O$85,15,0))*(1-0.04)</f>
        <v>3562.8191999999999</v>
      </c>
      <c r="X20" s="70">
        <f>IF(ISERROR(VLOOKUP($U$20,'TAR FIN'!$A$1:$O$85,15,0)),0,VLOOKUP($U$20,'TAR FIN'!$A$1:$O$85,15,0))*(1-0.04)</f>
        <v>193.66079999999999</v>
      </c>
      <c r="Y20" s="70"/>
      <c r="Z20" s="70">
        <f ca="1">('TUSD BE'!$AM$11+'TUSD BF'!$AM$11+'TUSD CVA'!$AM$11)*1*(1-0.02)</f>
        <v>4755.6250630698214</v>
      </c>
      <c r="AA20" s="70">
        <f>('TE BE'!$AA$5+'TE BF'!$AA$5+'TE CVA'!$AA$5)*1*(1-0.02)</f>
        <v>221.27889404302132</v>
      </c>
      <c r="AB20" s="70">
        <f>(SUBSIDIO!$J$20*SUBSIDIO!$V$20)*(0.04)/(1-0.04)</f>
        <v>0</v>
      </c>
      <c r="AC20" s="70">
        <f>((SUBSIDIO!$L$20*SUBSIDIO!$W$20)+(SUBSIDIO!$N$20*SUBSIDIO!$X$20))*(0.04)/(1-0.04)</f>
        <v>62.294960000000003</v>
      </c>
      <c r="AD20" s="70">
        <f>(SUBSIDIO!$J$20*SUBSIDIO!$Y$20)*(0.02)/(1-0.02)</f>
        <v>0</v>
      </c>
      <c r="AE20" s="70">
        <f ca="1">((SUBSIDIO!$L$20*SUBSIDIO!$Z$20)+(SUBSIDIO!$N$20*SUBSIDIO!$AA$20))*(0.02)/(1-0.02)</f>
        <v>40.424648467977789</v>
      </c>
      <c r="AF20" s="4" t="s">
        <v>544</v>
      </c>
    </row>
    <row r="21" spans="1:32" ht="11.25" customHeight="1" x14ac:dyDescent="0.3">
      <c r="A21" s="4" t="s">
        <v>21</v>
      </c>
      <c r="B21" s="4" t="s">
        <v>36</v>
      </c>
      <c r="C21" s="4" t="s">
        <v>37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38</v>
      </c>
      <c r="I21" s="5">
        <v>44378</v>
      </c>
      <c r="J21" s="6">
        <v>0</v>
      </c>
      <c r="K21" s="70">
        <v>0</v>
      </c>
      <c r="L21" s="6">
        <v>0.501</v>
      </c>
      <c r="M21" s="70">
        <v>0.501</v>
      </c>
      <c r="N21" s="6">
        <v>0.501</v>
      </c>
      <c r="O21" s="70">
        <v>0.501</v>
      </c>
      <c r="P21" s="6">
        <v>0</v>
      </c>
      <c r="Q21" s="4" t="s">
        <v>26</v>
      </c>
      <c r="R21" s="4">
        <v>0</v>
      </c>
      <c r="S21" s="4">
        <v>0</v>
      </c>
      <c r="T21" s="4">
        <v>83</v>
      </c>
      <c r="U21" s="4">
        <v>53</v>
      </c>
      <c r="V21" s="70">
        <f>IF(ISERROR(VLOOKUP($S$21,'TAR FIN'!$A$1:$O$85,15,0)),0,VLOOKUP($S$21,'TAR FIN'!$A$1:$O$85,15,0))</f>
        <v>0</v>
      </c>
      <c r="W21" s="70">
        <f>IF(ISERROR(VLOOKUP($T$21,'TAR FIN'!$A$1:$O$85,15,0)),0,VLOOKUP($T$21,'TAR FIN'!$A$1:$O$85,15,0))*(1-0.04)</f>
        <v>3562.8191999999999</v>
      </c>
      <c r="X21" s="70">
        <f>IF(ISERROR(VLOOKUP($U$21,'TAR FIN'!$A$1:$O$85,15,0)),0,VLOOKUP($U$21,'TAR FIN'!$A$1:$O$85,15,0))*(1-0.04)</f>
        <v>193.66079999999999</v>
      </c>
      <c r="Y21" s="70"/>
      <c r="Z21" s="70">
        <f ca="1">('TUSD BE'!$AM$11+'TUSD BF'!$AM$11+'TUSD CVA'!$AM$11)*1*(1-0.02)</f>
        <v>4755.6250630698214</v>
      </c>
      <c r="AA21" s="70">
        <f>('TE BE'!$AA$5+'TE BF'!$AA$5+'TE CVA'!$AA$5)*1*(1-0.02)</f>
        <v>221.27889404302132</v>
      </c>
      <c r="AB21" s="70">
        <f>(SUBSIDIO!$J$21*SUBSIDIO!$V$21)*(0.04)/(1-0.04)</f>
        <v>0</v>
      </c>
      <c r="AC21" s="70">
        <f>((SUBSIDIO!$L$21*SUBSIDIO!$W$21)+(SUBSIDIO!$N$21*SUBSIDIO!$X$21))*(0.04)/(1-0.04)</f>
        <v>78.416519999999991</v>
      </c>
      <c r="AD21" s="70">
        <f>(SUBSIDIO!$J$21*SUBSIDIO!$Y$21)*(0.02)/(1-0.02)</f>
        <v>0</v>
      </c>
      <c r="AE21" s="70">
        <f ca="1">((SUBSIDIO!$L$21*SUBSIDIO!$Z$21)+(SUBSIDIO!$N$21*SUBSIDIO!$AA$21))*(0.02)/(1-0.02)</f>
        <v>50.886303724766002</v>
      </c>
      <c r="AF21" s="4" t="s">
        <v>544</v>
      </c>
    </row>
    <row r="22" spans="1:32" ht="11.25" customHeight="1" x14ac:dyDescent="0.3">
      <c r="A22" s="4" t="s">
        <v>21</v>
      </c>
      <c r="B22" s="4" t="s">
        <v>36</v>
      </c>
      <c r="C22" s="4" t="s">
        <v>37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38</v>
      </c>
      <c r="I22" s="5">
        <v>44409</v>
      </c>
      <c r="J22" s="6">
        <v>0</v>
      </c>
      <c r="K22" s="70">
        <v>0</v>
      </c>
      <c r="L22" s="6">
        <v>0.30099999999999999</v>
      </c>
      <c r="M22" s="70">
        <v>0.30099999999999999</v>
      </c>
      <c r="N22" s="6">
        <v>0.30099999999999999</v>
      </c>
      <c r="O22" s="70">
        <v>0.30099999999999999</v>
      </c>
      <c r="P22" s="6">
        <v>0</v>
      </c>
      <c r="Q22" s="4" t="s">
        <v>26</v>
      </c>
      <c r="R22" s="4">
        <v>0</v>
      </c>
      <c r="S22" s="4">
        <v>0</v>
      </c>
      <c r="T22" s="4">
        <v>83</v>
      </c>
      <c r="U22" s="4">
        <v>53</v>
      </c>
      <c r="V22" s="70">
        <f>IF(ISERROR(VLOOKUP($S$22,'TAR FIN'!$A$1:$O$85,15,0)),0,VLOOKUP($S$22,'TAR FIN'!$A$1:$O$85,15,0))</f>
        <v>0</v>
      </c>
      <c r="W22" s="70">
        <f>IF(ISERROR(VLOOKUP($T$22,'TAR FIN'!$A$1:$O$85,15,0)),0,VLOOKUP($T$22,'TAR FIN'!$A$1:$O$85,15,0))*(1-0.04)</f>
        <v>3562.8191999999999</v>
      </c>
      <c r="X22" s="70">
        <f>IF(ISERROR(VLOOKUP($U$22,'TAR FIN'!$A$1:$O$85,15,0)),0,VLOOKUP($U$22,'TAR FIN'!$A$1:$O$85,15,0))*(1-0.04)</f>
        <v>193.66079999999999</v>
      </c>
      <c r="Y22" s="70"/>
      <c r="Z22" s="70">
        <f ca="1">('TUSD BE'!$AM$11+'TUSD BF'!$AM$11+'TUSD CVA'!$AM$11)*1*(1-0.02)</f>
        <v>4755.6250630698214</v>
      </c>
      <c r="AA22" s="70">
        <f>('TE BE'!$AA$5+'TE BF'!$AA$5+'TE CVA'!$AA$5)*1*(1-0.02)</f>
        <v>221.27889404302132</v>
      </c>
      <c r="AB22" s="70">
        <f>(SUBSIDIO!$J$22*SUBSIDIO!$V$22)*(0.04)/(1-0.04)</f>
        <v>0</v>
      </c>
      <c r="AC22" s="70">
        <f>((SUBSIDIO!$L$22*SUBSIDIO!$W$22)+(SUBSIDIO!$N$22*SUBSIDIO!$X$22))*(0.04)/(1-0.04)</f>
        <v>47.112519999999989</v>
      </c>
      <c r="AD22" s="70">
        <f>(SUBSIDIO!$J$22*SUBSIDIO!$Y$22)*(0.02)/(1-0.02)</f>
        <v>0</v>
      </c>
      <c r="AE22" s="70">
        <f ca="1">((SUBSIDIO!$L$22*SUBSIDIO!$Z$22)+(SUBSIDIO!$N$22*SUBSIDIO!$AA$22))*(0.02)/(1-0.02)</f>
        <v>30.572410022264602</v>
      </c>
      <c r="AF22" s="4" t="s">
        <v>544</v>
      </c>
    </row>
    <row r="23" spans="1:32" ht="11.25" customHeight="1" x14ac:dyDescent="0.3">
      <c r="A23" s="4" t="s">
        <v>21</v>
      </c>
      <c r="B23" s="4" t="s">
        <v>36</v>
      </c>
      <c r="C23" s="4" t="s">
        <v>37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38</v>
      </c>
      <c r="I23" s="5">
        <v>44440</v>
      </c>
      <c r="J23" s="6">
        <v>0</v>
      </c>
      <c r="K23" s="70">
        <v>0</v>
      </c>
      <c r="L23" s="6">
        <v>0.27100000000000002</v>
      </c>
      <c r="M23" s="70">
        <v>0.27100000000000002</v>
      </c>
      <c r="N23" s="6">
        <v>0.27100000000000002</v>
      </c>
      <c r="O23" s="70">
        <v>0.27100000000000002</v>
      </c>
      <c r="P23" s="6">
        <v>0</v>
      </c>
      <c r="Q23" s="4" t="s">
        <v>26</v>
      </c>
      <c r="R23" s="4">
        <v>0</v>
      </c>
      <c r="S23" s="4">
        <v>0</v>
      </c>
      <c r="T23" s="4">
        <v>83</v>
      </c>
      <c r="U23" s="4">
        <v>53</v>
      </c>
      <c r="V23" s="70">
        <f>IF(ISERROR(VLOOKUP($S$23,'TAR FIN'!$A$1:$O$85,15,0)),0,VLOOKUP($S$23,'TAR FIN'!$A$1:$O$85,15,0))</f>
        <v>0</v>
      </c>
      <c r="W23" s="70">
        <f>IF(ISERROR(VLOOKUP($T$23,'TAR FIN'!$A$1:$O$85,15,0)),0,VLOOKUP($T$23,'TAR FIN'!$A$1:$O$85,15,0))*(1-0.04)</f>
        <v>3562.8191999999999</v>
      </c>
      <c r="X23" s="70">
        <f>IF(ISERROR(VLOOKUP($U$23,'TAR FIN'!$A$1:$O$85,15,0)),0,VLOOKUP($U$23,'TAR FIN'!$A$1:$O$85,15,0))*(1-0.04)</f>
        <v>193.66079999999999</v>
      </c>
      <c r="Y23" s="70"/>
      <c r="Z23" s="70">
        <f ca="1">('TUSD BE'!$AM$11+'TUSD BF'!$AM$11+'TUSD CVA'!$AM$11)*1*(1-0.02)</f>
        <v>4755.6250630698214</v>
      </c>
      <c r="AA23" s="70">
        <f>('TE BE'!$AA$5+'TE BF'!$AA$5+'TE CVA'!$AA$5)*1*(1-0.02)</f>
        <v>221.27889404302132</v>
      </c>
      <c r="AB23" s="70">
        <f>(SUBSIDIO!$J$23*SUBSIDIO!$V$23)*(0.04)/(1-0.04)</f>
        <v>0</v>
      </c>
      <c r="AC23" s="70">
        <f>((SUBSIDIO!$L$23*SUBSIDIO!$W$23)+(SUBSIDIO!$N$23*SUBSIDIO!$X$23))*(0.04)/(1-0.04)</f>
        <v>42.416919999999998</v>
      </c>
      <c r="AD23" s="70">
        <f>(SUBSIDIO!$J$23*SUBSIDIO!$Y$23)*(0.02)/(1-0.02)</f>
        <v>0</v>
      </c>
      <c r="AE23" s="70">
        <f ca="1">((SUBSIDIO!$L$23*SUBSIDIO!$Z$23)+(SUBSIDIO!$N$23*SUBSIDIO!$AA$23))*(0.02)/(1-0.02)</f>
        <v>27.525325966889401</v>
      </c>
      <c r="AF23" s="4" t="s">
        <v>544</v>
      </c>
    </row>
    <row r="24" spans="1:32" ht="11.25" customHeight="1" x14ac:dyDescent="0.3">
      <c r="A24" s="4" t="s">
        <v>21</v>
      </c>
      <c r="B24" s="4" t="s">
        <v>36</v>
      </c>
      <c r="C24" s="4" t="s">
        <v>37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38</v>
      </c>
      <c r="I24" s="5">
        <v>44470</v>
      </c>
      <c r="J24" s="6">
        <v>0</v>
      </c>
      <c r="K24" s="70">
        <v>0</v>
      </c>
      <c r="L24" s="6">
        <v>0.32100000000000001</v>
      </c>
      <c r="M24" s="70">
        <v>0.32100000000000001</v>
      </c>
      <c r="N24" s="6">
        <v>0.32100000000000001</v>
      </c>
      <c r="O24" s="70">
        <v>0.32100000000000001</v>
      </c>
      <c r="P24" s="6">
        <v>0</v>
      </c>
      <c r="Q24" s="4" t="s">
        <v>26</v>
      </c>
      <c r="R24" s="4">
        <v>0</v>
      </c>
      <c r="S24" s="4">
        <v>0</v>
      </c>
      <c r="T24" s="4">
        <v>83</v>
      </c>
      <c r="U24" s="4">
        <v>53</v>
      </c>
      <c r="V24" s="70">
        <f>IF(ISERROR(VLOOKUP($S$24,'TAR FIN'!$A$1:$O$85,15,0)),0,VLOOKUP($S$24,'TAR FIN'!$A$1:$O$85,15,0))</f>
        <v>0</v>
      </c>
      <c r="W24" s="70">
        <f>IF(ISERROR(VLOOKUP($T$24,'TAR FIN'!$A$1:$O$85,15,0)),0,VLOOKUP($T$24,'TAR FIN'!$A$1:$O$85,15,0))*(1-0.04)</f>
        <v>3562.8191999999999</v>
      </c>
      <c r="X24" s="70">
        <f>IF(ISERROR(VLOOKUP($U$24,'TAR FIN'!$A$1:$O$85,15,0)),0,VLOOKUP($U$24,'TAR FIN'!$A$1:$O$85,15,0))*(1-0.04)</f>
        <v>193.66079999999999</v>
      </c>
      <c r="Y24" s="70"/>
      <c r="Z24" s="70">
        <f ca="1">('TUSD BE'!$AM$11+'TUSD BF'!$AM$11+'TUSD CVA'!$AM$11)*1*(1-0.02)</f>
        <v>4755.6250630698214</v>
      </c>
      <c r="AA24" s="70">
        <f>('TE BE'!$AA$5+'TE BF'!$AA$5+'TE CVA'!$AA$5)*1*(1-0.02)</f>
        <v>221.27889404302132</v>
      </c>
      <c r="AB24" s="70">
        <f>(SUBSIDIO!$J$24*SUBSIDIO!$V$24)*(0.04)/(1-0.04)</f>
        <v>0</v>
      </c>
      <c r="AC24" s="70">
        <f>((SUBSIDIO!$L$24*SUBSIDIO!$W$24)+(SUBSIDIO!$N$24*SUBSIDIO!$X$24))*(0.04)/(1-0.04)</f>
        <v>50.242920000000005</v>
      </c>
      <c r="AD24" s="70">
        <f>(SUBSIDIO!$J$24*SUBSIDIO!$Y$24)*(0.02)/(1-0.02)</f>
        <v>0</v>
      </c>
      <c r="AE24" s="70">
        <f ca="1">((SUBSIDIO!$L$24*SUBSIDIO!$Z$24)+(SUBSIDIO!$N$24*SUBSIDIO!$AA$24))*(0.02)/(1-0.02)</f>
        <v>32.603799392514745</v>
      </c>
      <c r="AF24" s="4" t="s">
        <v>544</v>
      </c>
    </row>
    <row r="25" spans="1:32" ht="11.25" customHeight="1" x14ac:dyDescent="0.3">
      <c r="A25" s="4" t="s">
        <v>21</v>
      </c>
      <c r="B25" s="4" t="s">
        <v>36</v>
      </c>
      <c r="C25" s="4" t="s">
        <v>37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38</v>
      </c>
      <c r="I25" s="5">
        <v>44501</v>
      </c>
      <c r="J25" s="6">
        <v>0</v>
      </c>
      <c r="K25" s="70">
        <v>0</v>
      </c>
      <c r="L25" s="6">
        <v>0.34</v>
      </c>
      <c r="M25" s="70">
        <v>0.34</v>
      </c>
      <c r="N25" s="6">
        <v>0.34</v>
      </c>
      <c r="O25" s="70">
        <v>0.34</v>
      </c>
      <c r="P25" s="6">
        <v>0</v>
      </c>
      <c r="Q25" s="4" t="s">
        <v>26</v>
      </c>
      <c r="R25" s="4">
        <v>0</v>
      </c>
      <c r="S25" s="4">
        <v>0</v>
      </c>
      <c r="T25" s="4">
        <v>83</v>
      </c>
      <c r="U25" s="4">
        <v>53</v>
      </c>
      <c r="V25" s="70">
        <f>IF(ISERROR(VLOOKUP($S$25,'TAR FIN'!$A$1:$O$85,15,0)),0,VLOOKUP($S$25,'TAR FIN'!$A$1:$O$85,15,0))</f>
        <v>0</v>
      </c>
      <c r="W25" s="70">
        <f>IF(ISERROR(VLOOKUP($T$25,'TAR FIN'!$A$1:$O$85,15,0)),0,VLOOKUP($T$25,'TAR FIN'!$A$1:$O$85,15,0))*(1-0.04)</f>
        <v>3562.8191999999999</v>
      </c>
      <c r="X25" s="70">
        <f>IF(ISERROR(VLOOKUP($U$25,'TAR FIN'!$A$1:$O$85,15,0)),0,VLOOKUP($U$25,'TAR FIN'!$A$1:$O$85,15,0))*(1-0.04)</f>
        <v>193.66079999999999</v>
      </c>
      <c r="Y25" s="70"/>
      <c r="Z25" s="70">
        <f ca="1">('TUSD BE'!$AM$11+'TUSD BF'!$AM$11+'TUSD CVA'!$AM$11)*1*(1-0.02)</f>
        <v>4755.6250630698214</v>
      </c>
      <c r="AA25" s="70">
        <f>('TE BE'!$AA$5+'TE BF'!$AA$5+'TE CVA'!$AA$5)*1*(1-0.02)</f>
        <v>221.27889404302132</v>
      </c>
      <c r="AB25" s="70">
        <f>(SUBSIDIO!$J$25*SUBSIDIO!$V$25)*(0.04)/(1-0.04)</f>
        <v>0</v>
      </c>
      <c r="AC25" s="70">
        <f>((SUBSIDIO!$L$25*SUBSIDIO!$W$25)+(SUBSIDIO!$N$25*SUBSIDIO!$X$25))*(0.04)/(1-0.04)</f>
        <v>53.216799999999999</v>
      </c>
      <c r="AD25" s="70">
        <f>(SUBSIDIO!$J$25*SUBSIDIO!$Y$25)*(0.02)/(1-0.02)</f>
        <v>0</v>
      </c>
      <c r="AE25" s="70">
        <f ca="1">((SUBSIDIO!$L$25*SUBSIDIO!$Z$25)+(SUBSIDIO!$N$25*SUBSIDIO!$AA$25))*(0.02)/(1-0.02)</f>
        <v>34.533619294252389</v>
      </c>
      <c r="AF25" s="4" t="s">
        <v>544</v>
      </c>
    </row>
    <row r="26" spans="1:32" ht="11.25" customHeight="1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4" t="s">
        <v>24</v>
      </c>
      <c r="F26" s="4" t="s">
        <v>25</v>
      </c>
      <c r="G26" s="4" t="s">
        <v>25</v>
      </c>
      <c r="H26" s="4" t="s">
        <v>25</v>
      </c>
      <c r="I26" s="5">
        <v>44287</v>
      </c>
      <c r="J26" s="6">
        <v>0</v>
      </c>
      <c r="K26" s="6">
        <v>0</v>
      </c>
      <c r="L26" s="6">
        <v>726.19200000000001</v>
      </c>
      <c r="M26" s="6">
        <v>726.19200000000001</v>
      </c>
      <c r="N26" s="6">
        <v>726.19200000000001</v>
      </c>
      <c r="O26" s="6">
        <v>726.19200000000001</v>
      </c>
      <c r="P26" s="6">
        <v>4406</v>
      </c>
      <c r="Q26" s="4" t="s">
        <v>26</v>
      </c>
      <c r="R26" s="4">
        <v>0</v>
      </c>
      <c r="S26" s="4">
        <v>0</v>
      </c>
      <c r="T26" s="4">
        <v>48</v>
      </c>
      <c r="U26" s="4">
        <v>31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823.74</v>
      </c>
      <c r="X26" s="6">
        <f>IF(ISERROR(VLOOKUP($U$26,'TAR FIN'!$A$1:$O$85,15,0)),0,VLOOKUP($U$26,'TAR FIN'!$A$1:$O$85,15,0))</f>
        <v>201.73</v>
      </c>
      <c r="Y26" s="6"/>
      <c r="Z26" s="6">
        <f ca="1">('TUSD BE'!$AM$20+'TUSD BF'!$AM$20+'TUSD CVA'!$AM$20)*1</f>
        <v>1046.4709656688399</v>
      </c>
      <c r="AA26" s="6">
        <f>('TE BE'!$AA$10+'TE BF'!$AA$10+'TE CVA'!$AA$10)*1</f>
        <v>225.7947898398177</v>
      </c>
      <c r="AB26" s="6">
        <f t="shared" ref="AB26:AB33" si="2">(J26-K26)*V26</f>
        <v>0</v>
      </c>
      <c r="AC26" s="6">
        <f t="shared" ref="AC26" si="3">(L26-M26)*W26+(N26-O26)*X26</f>
        <v>0</v>
      </c>
      <c r="AD26" s="6">
        <f t="shared" ref="AD26:AD33" si="4">(J26-K26)*Y26</f>
        <v>0</v>
      </c>
      <c r="AE26" s="6">
        <f t="shared" ref="AE26" ca="1" si="5">(L26-M26)*Z26+(N26-O26)*AA26</f>
        <v>0</v>
      </c>
    </row>
    <row r="27" spans="1:32" ht="11.25" customHeight="1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4" t="s">
        <v>29</v>
      </c>
      <c r="F27" s="4" t="s">
        <v>25</v>
      </c>
      <c r="G27" s="4" t="s">
        <v>25</v>
      </c>
      <c r="H27" s="4" t="s">
        <v>25</v>
      </c>
      <c r="I27" s="5">
        <v>44287</v>
      </c>
      <c r="J27" s="6">
        <v>0</v>
      </c>
      <c r="K27" s="6">
        <v>0</v>
      </c>
      <c r="L27" s="6">
        <v>1.89</v>
      </c>
      <c r="M27" s="6">
        <v>1.89</v>
      </c>
      <c r="N27" s="6">
        <v>1.89</v>
      </c>
      <c r="O27" s="6">
        <v>1.89</v>
      </c>
      <c r="P27" s="6">
        <v>1</v>
      </c>
      <c r="Q27" s="4" t="s">
        <v>26</v>
      </c>
      <c r="R27" s="4">
        <v>0</v>
      </c>
      <c r="S27" s="4">
        <v>0</v>
      </c>
      <c r="T27" s="4">
        <v>44</v>
      </c>
      <c r="U27" s="4">
        <v>32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245.01</v>
      </c>
      <c r="X27" s="6">
        <f>IF(ISERROR(VLOOKUP($U$27,'TAR FIN'!$A$1:$O$85,15,0)),0,VLOOKUP($U$27,'TAR FIN'!$A$1:$O$85,15,0))</f>
        <v>70.61</v>
      </c>
      <c r="Y27" s="6"/>
      <c r="Z27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27" s="6">
        <f>('TE BE'!$AA$11+'TE BF'!$AA$11+'TE CVA'!$AA$11)*(1-CUSTOS!$M$34)</f>
        <v>79.028176443936189</v>
      </c>
      <c r="AB27" s="6">
        <f t="shared" si="2"/>
        <v>0</v>
      </c>
      <c r="AC27" s="6">
        <f>(L27-M27)*(W27+X27)+($W$67+$X$67-$W$27-$X$27)*(L27)</f>
        <v>1107.8045999999999</v>
      </c>
      <c r="AD27" s="6">
        <f t="shared" si="4"/>
        <v>0</v>
      </c>
      <c r="AE27" s="6">
        <f ca="1">(L27-M27)*(Z27+AA27)+($Z$67+$AA$67-$Z$27-$AA$27)*(L27)</f>
        <v>1389.2470224886406</v>
      </c>
      <c r="AF27" s="4" t="s">
        <v>545</v>
      </c>
    </row>
    <row r="28" spans="1:32" ht="11.25" customHeight="1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29</v>
      </c>
      <c r="F28" s="4" t="s">
        <v>25</v>
      </c>
      <c r="G28" s="4" t="s">
        <v>25</v>
      </c>
      <c r="H28" s="4" t="s">
        <v>25</v>
      </c>
      <c r="I28" s="5">
        <v>44317</v>
      </c>
      <c r="J28" s="6">
        <v>0</v>
      </c>
      <c r="K28" s="6">
        <v>0</v>
      </c>
      <c r="L28" s="6">
        <v>2.04</v>
      </c>
      <c r="M28" s="6">
        <v>2.04</v>
      </c>
      <c r="N28" s="6">
        <v>2.04</v>
      </c>
      <c r="O28" s="6">
        <v>2.04</v>
      </c>
      <c r="P28" s="6">
        <v>0</v>
      </c>
      <c r="Q28" s="4" t="s">
        <v>26</v>
      </c>
      <c r="R28" s="4">
        <v>0</v>
      </c>
      <c r="S28" s="4">
        <v>0</v>
      </c>
      <c r="T28" s="4">
        <v>44</v>
      </c>
      <c r="U28" s="4">
        <v>32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245.01</v>
      </c>
      <c r="X28" s="6">
        <f>IF(ISERROR(VLOOKUP($U$28,'TAR FIN'!$A$1:$O$85,15,0)),0,VLOOKUP($U$28,'TAR FIN'!$A$1:$O$85,15,0))</f>
        <v>70.61</v>
      </c>
      <c r="Y28" s="6"/>
      <c r="Z28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28" s="6">
        <f>('TE BE'!$AA$11+'TE BF'!$AA$11+'TE CVA'!$AA$11)*(1-CUSTOS!$M$34)</f>
        <v>79.028176443936189</v>
      </c>
      <c r="AB28" s="6">
        <f t="shared" si="2"/>
        <v>0</v>
      </c>
      <c r="AC28" s="6">
        <f>(L28-M28)*(W28+X28)+($W$67+$X$67-$W$28-$X$28)*(L28)</f>
        <v>1195.7256</v>
      </c>
      <c r="AD28" s="6">
        <f t="shared" si="4"/>
        <v>0</v>
      </c>
      <c r="AE28" s="6">
        <f ca="1">(L28-M28)*(Z28+AA28)+($Z$67+$AA$67-$Z$28-$AA$28)*(L28)</f>
        <v>1499.5047226861518</v>
      </c>
      <c r="AF28" s="4" t="s">
        <v>545</v>
      </c>
    </row>
    <row r="29" spans="1:32" ht="11.25" customHeight="1" x14ac:dyDescent="0.3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29</v>
      </c>
      <c r="F29" s="4" t="s">
        <v>25</v>
      </c>
      <c r="G29" s="4" t="s">
        <v>25</v>
      </c>
      <c r="H29" s="4" t="s">
        <v>25</v>
      </c>
      <c r="I29" s="5">
        <v>44348</v>
      </c>
      <c r="J29" s="6">
        <v>0</v>
      </c>
      <c r="K29" s="6">
        <v>0</v>
      </c>
      <c r="L29" s="6">
        <v>2.16</v>
      </c>
      <c r="M29" s="6">
        <v>2.16</v>
      </c>
      <c r="N29" s="6">
        <v>2.16</v>
      </c>
      <c r="O29" s="6">
        <v>2.16</v>
      </c>
      <c r="P29" s="6">
        <v>1</v>
      </c>
      <c r="Q29" s="4" t="s">
        <v>26</v>
      </c>
      <c r="R29" s="4">
        <v>0</v>
      </c>
      <c r="S29" s="4">
        <v>0</v>
      </c>
      <c r="T29" s="4">
        <v>44</v>
      </c>
      <c r="U29" s="4">
        <v>32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245.01</v>
      </c>
      <c r="X29" s="6">
        <f>IF(ISERROR(VLOOKUP($U$29,'TAR FIN'!$A$1:$O$85,15,0)),0,VLOOKUP($U$29,'TAR FIN'!$A$1:$O$85,15,0))</f>
        <v>70.61</v>
      </c>
      <c r="Y29" s="6"/>
      <c r="Z29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29" s="6">
        <f>('TE BE'!$AA$11+'TE BF'!$AA$11+'TE CVA'!$AA$11)*(1-CUSTOS!$M$34)</f>
        <v>79.028176443936189</v>
      </c>
      <c r="AB29" s="6">
        <f t="shared" si="2"/>
        <v>0</v>
      </c>
      <c r="AC29" s="6">
        <f>(L29-M29)*(W29+X29)+($W$67+$X$67-$W$29-$X$29)*(L29)</f>
        <v>1266.0624</v>
      </c>
      <c r="AD29" s="6">
        <f t="shared" si="4"/>
        <v>0</v>
      </c>
      <c r="AE29" s="6">
        <f ca="1">(L29-M29)*(Z29+AA29)+($Z$67+$AA$67-$Z$29-$AA$29)*(L29)</f>
        <v>1587.7108828441608</v>
      </c>
      <c r="AF29" s="4" t="s">
        <v>545</v>
      </c>
    </row>
    <row r="30" spans="1:32" ht="11.25" customHeight="1" x14ac:dyDescent="0.3">
      <c r="A30" s="4" t="s">
        <v>21</v>
      </c>
      <c r="B30" s="4" t="s">
        <v>22</v>
      </c>
      <c r="C30" s="4" t="s">
        <v>23</v>
      </c>
      <c r="D30" s="4" t="s">
        <v>24</v>
      </c>
      <c r="E30" s="4" t="s">
        <v>29</v>
      </c>
      <c r="F30" s="4" t="s">
        <v>25</v>
      </c>
      <c r="G30" s="4" t="s">
        <v>25</v>
      </c>
      <c r="H30" s="4" t="s">
        <v>25</v>
      </c>
      <c r="I30" s="5">
        <v>44378</v>
      </c>
      <c r="J30" s="6">
        <v>0</v>
      </c>
      <c r="K30" s="6">
        <v>0</v>
      </c>
      <c r="L30" s="6">
        <v>2.2200000000000002</v>
      </c>
      <c r="M30" s="6">
        <v>2.2200000000000002</v>
      </c>
      <c r="N30" s="6">
        <v>2.2200000000000002</v>
      </c>
      <c r="O30" s="6">
        <v>2.2200000000000002</v>
      </c>
      <c r="P30" s="6">
        <v>2</v>
      </c>
      <c r="Q30" s="4" t="s">
        <v>26</v>
      </c>
      <c r="R30" s="4">
        <v>0</v>
      </c>
      <c r="S30" s="4">
        <v>0</v>
      </c>
      <c r="T30" s="4">
        <v>44</v>
      </c>
      <c r="U30" s="4">
        <v>32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245.01</v>
      </c>
      <c r="X30" s="6">
        <f>IF(ISERROR(VLOOKUP($U$30,'TAR FIN'!$A$1:$O$85,15,0)),0,VLOOKUP($U$30,'TAR FIN'!$A$1:$O$85,15,0))</f>
        <v>70.61</v>
      </c>
      <c r="Y30" s="6"/>
      <c r="Z30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0" s="6">
        <f>('TE BE'!$AA$11+'TE BF'!$AA$11+'TE CVA'!$AA$11)*(1-CUSTOS!$M$34)</f>
        <v>79.028176443936189</v>
      </c>
      <c r="AB30" s="6">
        <f t="shared" si="2"/>
        <v>0</v>
      </c>
      <c r="AC30" s="6">
        <f>(L30-M30)*(W30+X30)+($W$67+$X$67-$W$30-$X$30)*(L30)</f>
        <v>1301.2308</v>
      </c>
      <c r="AD30" s="6">
        <f t="shared" si="4"/>
        <v>0</v>
      </c>
      <c r="AE30" s="6">
        <f ca="1">(L30-M30)*(Z30+AA30)+($Z$67+$AA$67-$Z$30-$AA$30)*(L30)</f>
        <v>1631.8139629231653</v>
      </c>
      <c r="AF30" s="4" t="s">
        <v>545</v>
      </c>
    </row>
    <row r="31" spans="1:32" ht="11.25" customHeight="1" x14ac:dyDescent="0.3">
      <c r="A31" s="4" t="s">
        <v>21</v>
      </c>
      <c r="B31" s="4" t="s">
        <v>22</v>
      </c>
      <c r="C31" s="4" t="s">
        <v>23</v>
      </c>
      <c r="D31" s="4" t="s">
        <v>24</v>
      </c>
      <c r="E31" s="4" t="s">
        <v>29</v>
      </c>
      <c r="F31" s="4" t="s">
        <v>25</v>
      </c>
      <c r="G31" s="4" t="s">
        <v>25</v>
      </c>
      <c r="H31" s="4" t="s">
        <v>25</v>
      </c>
      <c r="I31" s="5">
        <v>44409</v>
      </c>
      <c r="J31" s="6">
        <v>0</v>
      </c>
      <c r="K31" s="6">
        <v>0</v>
      </c>
      <c r="L31" s="6">
        <v>2.25</v>
      </c>
      <c r="M31" s="6">
        <v>2.25</v>
      </c>
      <c r="N31" s="6">
        <v>2.25</v>
      </c>
      <c r="O31" s="6">
        <v>2.25</v>
      </c>
      <c r="P31" s="6">
        <v>0</v>
      </c>
      <c r="Q31" s="4" t="s">
        <v>26</v>
      </c>
      <c r="R31" s="4">
        <v>0</v>
      </c>
      <c r="S31" s="4">
        <v>0</v>
      </c>
      <c r="T31" s="4">
        <v>44</v>
      </c>
      <c r="U31" s="4">
        <v>32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245.01</v>
      </c>
      <c r="X31" s="6">
        <f>IF(ISERROR(VLOOKUP($U$31,'TAR FIN'!$A$1:$O$85,15,0)),0,VLOOKUP($U$31,'TAR FIN'!$A$1:$O$85,15,0))</f>
        <v>70.61</v>
      </c>
      <c r="Y31" s="6"/>
      <c r="Z31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1" s="6">
        <f>('TE BE'!$AA$11+'TE BF'!$AA$11+'TE CVA'!$AA$11)*(1-CUSTOS!$M$34)</f>
        <v>79.028176443936189</v>
      </c>
      <c r="AB31" s="6">
        <f t="shared" si="2"/>
        <v>0</v>
      </c>
      <c r="AC31" s="6">
        <f>(L31-M31)*(W31+X31)+($W$67+$X$67-$W$31-$X$31)*(L31)</f>
        <v>1318.8150000000001</v>
      </c>
      <c r="AD31" s="6">
        <f t="shared" si="4"/>
        <v>0</v>
      </c>
      <c r="AE31" s="6">
        <f ca="1">(L31-M31)*(Z31+AA31)+($Z$67+$AA$67-$Z$31-$AA$31)*(L31)</f>
        <v>1653.8655029626675</v>
      </c>
      <c r="AF31" s="4" t="s">
        <v>545</v>
      </c>
    </row>
    <row r="32" spans="1:32" ht="11.25" customHeight="1" x14ac:dyDescent="0.3">
      <c r="A32" s="4" t="s">
        <v>21</v>
      </c>
      <c r="B32" s="4" t="s">
        <v>22</v>
      </c>
      <c r="C32" s="4" t="s">
        <v>23</v>
      </c>
      <c r="D32" s="4" t="s">
        <v>24</v>
      </c>
      <c r="E32" s="4" t="s">
        <v>29</v>
      </c>
      <c r="F32" s="4" t="s">
        <v>25</v>
      </c>
      <c r="G32" s="4" t="s">
        <v>25</v>
      </c>
      <c r="H32" s="4" t="s">
        <v>25</v>
      </c>
      <c r="I32" s="5">
        <v>44440</v>
      </c>
      <c r="J32" s="6">
        <v>0</v>
      </c>
      <c r="K32" s="6">
        <v>0</v>
      </c>
      <c r="L32" s="6">
        <v>2.34</v>
      </c>
      <c r="M32" s="6">
        <v>2.34</v>
      </c>
      <c r="N32" s="6">
        <v>2.34</v>
      </c>
      <c r="O32" s="6">
        <v>2.34</v>
      </c>
      <c r="P32" s="6">
        <v>0</v>
      </c>
      <c r="Q32" s="4" t="s">
        <v>26</v>
      </c>
      <c r="R32" s="4">
        <v>0</v>
      </c>
      <c r="S32" s="4">
        <v>0</v>
      </c>
      <c r="T32" s="4">
        <v>44</v>
      </c>
      <c r="U32" s="4">
        <v>32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245.01</v>
      </c>
      <c r="X32" s="6">
        <f>IF(ISERROR(VLOOKUP($U$32,'TAR FIN'!$A$1:$O$85,15,0)),0,VLOOKUP($U$32,'TAR FIN'!$A$1:$O$85,15,0))</f>
        <v>70.61</v>
      </c>
      <c r="Y32" s="6"/>
      <c r="Z32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2" s="6">
        <f>('TE BE'!$AA$11+'TE BF'!$AA$11+'TE CVA'!$AA$11)*(1-CUSTOS!$M$34)</f>
        <v>79.028176443936189</v>
      </c>
      <c r="AB32" s="6">
        <f t="shared" si="2"/>
        <v>0</v>
      </c>
      <c r="AC32" s="6">
        <f>(L32-M32)*(W32+X32)+($W$67+$X$67-$W$32-$X$32)*(L32)</f>
        <v>1371.5675999999999</v>
      </c>
      <c r="AD32" s="6">
        <f t="shared" si="4"/>
        <v>0</v>
      </c>
      <c r="AE32" s="6">
        <f ca="1">(L32-M32)*(Z32+AA32)+($Z$67+$AA$67-$Z$32-$AA$32)*(L32)</f>
        <v>1720.020123081174</v>
      </c>
      <c r="AF32" s="4" t="s">
        <v>545</v>
      </c>
    </row>
    <row r="33" spans="1:32" ht="11.25" customHeight="1" x14ac:dyDescent="0.3">
      <c r="A33" s="4" t="s">
        <v>21</v>
      </c>
      <c r="B33" s="4" t="s">
        <v>22</v>
      </c>
      <c r="C33" s="4" t="s">
        <v>23</v>
      </c>
      <c r="D33" s="4" t="s">
        <v>24</v>
      </c>
      <c r="E33" s="4" t="s">
        <v>29</v>
      </c>
      <c r="F33" s="4" t="s">
        <v>25</v>
      </c>
      <c r="G33" s="4" t="s">
        <v>25</v>
      </c>
      <c r="H33" s="4" t="s">
        <v>25</v>
      </c>
      <c r="I33" s="5">
        <v>44470</v>
      </c>
      <c r="J33" s="6">
        <v>0</v>
      </c>
      <c r="K33" s="6">
        <v>0</v>
      </c>
      <c r="L33" s="6">
        <v>2.4900000000000002</v>
      </c>
      <c r="M33" s="6">
        <v>2.4900000000000002</v>
      </c>
      <c r="N33" s="6">
        <v>2.4900000000000002</v>
      </c>
      <c r="O33" s="6">
        <v>2.4900000000000002</v>
      </c>
      <c r="P33" s="6">
        <v>0</v>
      </c>
      <c r="Q33" s="4" t="s">
        <v>26</v>
      </c>
      <c r="R33" s="4">
        <v>0</v>
      </c>
      <c r="S33" s="4">
        <v>0</v>
      </c>
      <c r="T33" s="4">
        <v>44</v>
      </c>
      <c r="U33" s="4">
        <v>32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245.01</v>
      </c>
      <c r="X33" s="6">
        <f>IF(ISERROR(VLOOKUP($U$33,'TAR FIN'!$A$1:$O$85,15,0)),0,VLOOKUP($U$33,'TAR FIN'!$A$1:$O$85,15,0))</f>
        <v>70.61</v>
      </c>
      <c r="Y33" s="6"/>
      <c r="Z33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3" s="6">
        <f>('TE BE'!$AA$11+'TE BF'!$AA$11+'TE CVA'!$AA$11)*(1-CUSTOS!$M$34)</f>
        <v>79.028176443936189</v>
      </c>
      <c r="AB33" s="6">
        <f t="shared" si="2"/>
        <v>0</v>
      </c>
      <c r="AC33" s="6">
        <f>(L33-M33)*(W33+X33)+($W$67+$X$67-$W$33-$X$33)*(L33)</f>
        <v>1459.4886000000001</v>
      </c>
      <c r="AD33" s="6">
        <f t="shared" si="4"/>
        <v>0</v>
      </c>
      <c r="AE33" s="6">
        <f ca="1">(L33-M33)*(Z33+AA33)+($Z$67+$AA$67-$Z$33-$AA$33)*(L33)</f>
        <v>1830.2778232786854</v>
      </c>
      <c r="AF33" s="4" t="s">
        <v>545</v>
      </c>
    </row>
    <row r="34" spans="1:32" ht="11.25" customHeight="1" x14ac:dyDescent="0.3">
      <c r="A34" s="4" t="s">
        <v>21</v>
      </c>
      <c r="B34" s="4" t="s">
        <v>22</v>
      </c>
      <c r="C34" s="4" t="s">
        <v>23</v>
      </c>
      <c r="D34" s="4" t="s">
        <v>24</v>
      </c>
      <c r="E34" s="4" t="s">
        <v>29</v>
      </c>
      <c r="F34" s="4" t="s">
        <v>25</v>
      </c>
      <c r="G34" s="4" t="s">
        <v>25</v>
      </c>
      <c r="H34" s="4" t="s">
        <v>25</v>
      </c>
      <c r="I34" s="5">
        <v>44501</v>
      </c>
      <c r="J34" s="6">
        <v>0</v>
      </c>
      <c r="K34" s="6">
        <v>0</v>
      </c>
      <c r="L34" s="6">
        <v>2.7</v>
      </c>
      <c r="M34" s="6">
        <v>2.7</v>
      </c>
      <c r="N34" s="6">
        <v>2.7</v>
      </c>
      <c r="O34" s="6">
        <v>2.7</v>
      </c>
      <c r="P34" s="6">
        <v>0</v>
      </c>
      <c r="Q34" s="4" t="s">
        <v>26</v>
      </c>
      <c r="R34" s="4">
        <v>0</v>
      </c>
      <c r="S34" s="4">
        <v>0</v>
      </c>
      <c r="T34" s="4">
        <v>44</v>
      </c>
      <c r="U34" s="4">
        <v>32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245.01</v>
      </c>
      <c r="X34" s="6">
        <f>IF(ISERROR(VLOOKUP($U$34,'TAR FIN'!$A$1:$O$85,15,0)),0,VLOOKUP($U$34,'TAR FIN'!$A$1:$O$85,15,0))</f>
        <v>70.61</v>
      </c>
      <c r="Y34" s="6"/>
      <c r="Z34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4" s="6">
        <f>('TE BE'!$AA$11+'TE BF'!$AA$11+'TE CVA'!$AA$11)*(1-CUSTOS!$M$34)</f>
        <v>79.028176443936189</v>
      </c>
      <c r="AB34" s="6">
        <f t="shared" ref="AB34:AB65" si="6">(J34-K34)*V34</f>
        <v>0</v>
      </c>
      <c r="AC34" s="6">
        <f>(L34-M34)*(W34+X34)+($W$67+$X$67-$W$34-$X$34)*(L34)</f>
        <v>1582.578</v>
      </c>
      <c r="AD34" s="6">
        <f t="shared" ref="AD34:AD65" si="7">(J34-K34)*Y34</f>
        <v>0</v>
      </c>
      <c r="AE34" s="6">
        <f ca="1">(L34-M34)*(Z34+AA34)+($Z$67+$AA$67-$Z$34-$AA$34)*(L34)</f>
        <v>1984.6386035552011</v>
      </c>
      <c r="AF34" s="4" t="s">
        <v>545</v>
      </c>
    </row>
    <row r="35" spans="1:32" ht="11.25" customHeight="1" x14ac:dyDescent="0.3">
      <c r="A35" s="4" t="s">
        <v>21</v>
      </c>
      <c r="B35" s="4" t="s">
        <v>22</v>
      </c>
      <c r="C35" s="4" t="s">
        <v>23</v>
      </c>
      <c r="D35" s="4" t="s">
        <v>24</v>
      </c>
      <c r="E35" s="4" t="s">
        <v>29</v>
      </c>
      <c r="F35" s="4" t="s">
        <v>25</v>
      </c>
      <c r="G35" s="4" t="s">
        <v>25</v>
      </c>
      <c r="H35" s="4" t="s">
        <v>25</v>
      </c>
      <c r="I35" s="5">
        <v>44531</v>
      </c>
      <c r="J35" s="6">
        <v>0</v>
      </c>
      <c r="K35" s="6">
        <v>0</v>
      </c>
      <c r="L35" s="6">
        <v>2.73</v>
      </c>
      <c r="M35" s="6">
        <v>2.73</v>
      </c>
      <c r="N35" s="6">
        <v>2.73</v>
      </c>
      <c r="O35" s="6">
        <v>2.73</v>
      </c>
      <c r="P35" s="6">
        <v>1</v>
      </c>
      <c r="Q35" s="4" t="s">
        <v>26</v>
      </c>
      <c r="R35" s="4">
        <v>0</v>
      </c>
      <c r="S35" s="4">
        <v>0</v>
      </c>
      <c r="T35" s="4">
        <v>44</v>
      </c>
      <c r="U35" s="4">
        <v>32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245.01</v>
      </c>
      <c r="X35" s="6">
        <f>IF(ISERROR(VLOOKUP($U$35,'TAR FIN'!$A$1:$O$85,15,0)),0,VLOOKUP($U$35,'TAR FIN'!$A$1:$O$85,15,0))</f>
        <v>70.61</v>
      </c>
      <c r="Y35" s="6"/>
      <c r="Z35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5" s="6">
        <f>('TE BE'!$AA$11+'TE BF'!$AA$11+'TE CVA'!$AA$11)*(1-CUSTOS!$M$34)</f>
        <v>79.028176443936189</v>
      </c>
      <c r="AB35" s="6">
        <f t="shared" si="6"/>
        <v>0</v>
      </c>
      <c r="AC35" s="6">
        <f>(L35-M35)*(W35+X35)+($W$67+$X$67-$W$35-$X$35)*(L35)</f>
        <v>1600.1622</v>
      </c>
      <c r="AD35" s="6">
        <f t="shared" si="7"/>
        <v>0</v>
      </c>
      <c r="AE35" s="6">
        <f ca="1">(L35-M35)*(Z35+AA35)+($Z$67+$AA$67-$Z$35-$AA$35)*(L35)</f>
        <v>2006.6901435947032</v>
      </c>
      <c r="AF35" s="4" t="s">
        <v>545</v>
      </c>
    </row>
    <row r="36" spans="1:32" ht="11.25" customHeight="1" x14ac:dyDescent="0.3">
      <c r="A36" s="4" t="s">
        <v>21</v>
      </c>
      <c r="B36" s="4" t="s">
        <v>22</v>
      </c>
      <c r="C36" s="4" t="s">
        <v>23</v>
      </c>
      <c r="D36" s="4" t="s">
        <v>24</v>
      </c>
      <c r="E36" s="4" t="s">
        <v>29</v>
      </c>
      <c r="F36" s="4" t="s">
        <v>25</v>
      </c>
      <c r="G36" s="4" t="s">
        <v>25</v>
      </c>
      <c r="H36" s="4" t="s">
        <v>25</v>
      </c>
      <c r="I36" s="5">
        <v>44562</v>
      </c>
      <c r="J36" s="6">
        <v>0</v>
      </c>
      <c r="K36" s="6">
        <v>0</v>
      </c>
      <c r="L36" s="6">
        <v>2.97</v>
      </c>
      <c r="M36" s="6">
        <v>2.97</v>
      </c>
      <c r="N36" s="6">
        <v>2.97</v>
      </c>
      <c r="O36" s="6">
        <v>2.97</v>
      </c>
      <c r="P36" s="6">
        <v>1</v>
      </c>
      <c r="Q36" s="4" t="s">
        <v>26</v>
      </c>
      <c r="R36" s="4">
        <v>0</v>
      </c>
      <c r="S36" s="4">
        <v>0</v>
      </c>
      <c r="T36" s="4">
        <v>44</v>
      </c>
      <c r="U36" s="4">
        <v>32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245.01</v>
      </c>
      <c r="X36" s="6">
        <f>IF(ISERROR(VLOOKUP($U$36,'TAR FIN'!$A$1:$O$85,15,0)),0,VLOOKUP($U$36,'TAR FIN'!$A$1:$O$85,15,0))</f>
        <v>70.61</v>
      </c>
      <c r="Y36" s="6"/>
      <c r="Z36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6" s="6">
        <f>('TE BE'!$AA$11+'TE BF'!$AA$11+'TE CVA'!$AA$11)*(1-CUSTOS!$M$34)</f>
        <v>79.028176443936189</v>
      </c>
      <c r="AB36" s="6">
        <f t="shared" si="6"/>
        <v>0</v>
      </c>
      <c r="AC36" s="6">
        <f>(L36-M36)*(W36+X36)+($W$67+$X$67-$W$36-$X$36)*(L36)</f>
        <v>1740.8358000000001</v>
      </c>
      <c r="AD36" s="6">
        <f t="shared" si="7"/>
        <v>0</v>
      </c>
      <c r="AE36" s="6">
        <f ca="1">(L36-M36)*(Z36+AA36)+($Z$67+$AA$67-$Z$36-$AA$36)*(L36)</f>
        <v>2183.1024639107213</v>
      </c>
      <c r="AF36" s="4" t="s">
        <v>545</v>
      </c>
    </row>
    <row r="37" spans="1:32" ht="11.25" customHeight="1" x14ac:dyDescent="0.3">
      <c r="A37" s="4" t="s">
        <v>21</v>
      </c>
      <c r="B37" s="4" t="s">
        <v>22</v>
      </c>
      <c r="C37" s="4" t="s">
        <v>23</v>
      </c>
      <c r="D37" s="4" t="s">
        <v>24</v>
      </c>
      <c r="E37" s="4" t="s">
        <v>29</v>
      </c>
      <c r="F37" s="4" t="s">
        <v>25</v>
      </c>
      <c r="G37" s="4" t="s">
        <v>25</v>
      </c>
      <c r="H37" s="4" t="s">
        <v>25</v>
      </c>
      <c r="I37" s="5">
        <v>44593</v>
      </c>
      <c r="J37" s="6">
        <v>0</v>
      </c>
      <c r="K37" s="6">
        <v>0</v>
      </c>
      <c r="L37" s="6">
        <v>3.36</v>
      </c>
      <c r="M37" s="6">
        <v>3.36</v>
      </c>
      <c r="N37" s="6">
        <v>3.36</v>
      </c>
      <c r="O37" s="6">
        <v>3.36</v>
      </c>
      <c r="P37" s="6">
        <v>1</v>
      </c>
      <c r="Q37" s="4" t="s">
        <v>26</v>
      </c>
      <c r="R37" s="4">
        <v>0</v>
      </c>
      <c r="S37" s="4">
        <v>0</v>
      </c>
      <c r="T37" s="4">
        <v>44</v>
      </c>
      <c r="U37" s="4">
        <v>32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245.01</v>
      </c>
      <c r="X37" s="6">
        <f>IF(ISERROR(VLOOKUP($U$37,'TAR FIN'!$A$1:$O$85,15,0)),0,VLOOKUP($U$37,'TAR FIN'!$A$1:$O$85,15,0))</f>
        <v>70.61</v>
      </c>
      <c r="Y37" s="6"/>
      <c r="Z37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7" s="6">
        <f>('TE BE'!$AA$11+'TE BF'!$AA$11+'TE CVA'!$AA$11)*(1-CUSTOS!$M$34)</f>
        <v>79.028176443936189</v>
      </c>
      <c r="AB37" s="6">
        <f t="shared" si="6"/>
        <v>0</v>
      </c>
      <c r="AC37" s="6">
        <f>(L37-M37)*(W37+X37)+($W$67+$X$67-$W$37-$X$37)*(L37)</f>
        <v>1969.4304</v>
      </c>
      <c r="AD37" s="6">
        <f t="shared" si="7"/>
        <v>0</v>
      </c>
      <c r="AE37" s="6">
        <f ca="1">(L37-M37)*(Z37+AA37)+($Z$67+$AA$67-$Z$37-$AA$37)*(L37)</f>
        <v>2469.7724844242498</v>
      </c>
      <c r="AF37" s="4" t="s">
        <v>545</v>
      </c>
    </row>
    <row r="38" spans="1:32" ht="11.25" customHeight="1" x14ac:dyDescent="0.3">
      <c r="A38" s="4" t="s">
        <v>21</v>
      </c>
      <c r="B38" s="4" t="s">
        <v>22</v>
      </c>
      <c r="C38" s="4" t="s">
        <v>23</v>
      </c>
      <c r="D38" s="4" t="s">
        <v>24</v>
      </c>
      <c r="E38" s="4" t="s">
        <v>29</v>
      </c>
      <c r="F38" s="4" t="s">
        <v>25</v>
      </c>
      <c r="G38" s="4" t="s">
        <v>25</v>
      </c>
      <c r="H38" s="4" t="s">
        <v>25</v>
      </c>
      <c r="I38" s="5">
        <v>44621</v>
      </c>
      <c r="J38" s="6">
        <v>0</v>
      </c>
      <c r="K38" s="6">
        <v>0</v>
      </c>
      <c r="L38" s="6">
        <v>7.62</v>
      </c>
      <c r="M38" s="6">
        <v>7.62</v>
      </c>
      <c r="N38" s="6">
        <v>7.62</v>
      </c>
      <c r="O38" s="6">
        <v>7.62</v>
      </c>
      <c r="P38" s="6">
        <v>11</v>
      </c>
      <c r="Q38" s="4" t="s">
        <v>26</v>
      </c>
      <c r="R38" s="4">
        <v>0</v>
      </c>
      <c r="S38" s="4">
        <v>0</v>
      </c>
      <c r="T38" s="4">
        <v>44</v>
      </c>
      <c r="U38" s="4">
        <v>32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245.01</v>
      </c>
      <c r="X38" s="6">
        <f>IF(ISERROR(VLOOKUP($U$38,'TAR FIN'!$A$1:$O$85,15,0)),0,VLOOKUP($U$38,'TAR FIN'!$A$1:$O$85,15,0))</f>
        <v>70.61</v>
      </c>
      <c r="Y38" s="6"/>
      <c r="Z38" s="6">
        <f ca="1">('TUSD BE'!$AM$21+'TUSD BF'!$AM$21+'TUSD CVA'!$AM$21-('TUSD BE'!$P$21+'TUSD BF'!$P$21+'TUSD CVA'!$P$21)-('TUSD BE'!$Q$21+'TUSD BF'!$Q$21+'TUSD CVA'!$Q$21)-('TUSD BE'!$R$21+'TUSD BF'!$R$21+'TUSD CVA'!$R$21))*(1-CUSTOS!$M$34)</f>
        <v>316.76869605995</v>
      </c>
      <c r="AA38" s="6">
        <f>('TE BE'!$AA$11+'TE BF'!$AA$11+'TE CVA'!$AA$11)*(1-CUSTOS!$M$34)</f>
        <v>79.028176443936189</v>
      </c>
      <c r="AB38" s="6">
        <f t="shared" si="6"/>
        <v>0</v>
      </c>
      <c r="AC38" s="6">
        <f>(L38-M38)*(W38+X38)+($W$67+$X$67-$W$38-$X$38)*(L38)</f>
        <v>4466.3868000000002</v>
      </c>
      <c r="AD38" s="6">
        <f t="shared" si="7"/>
        <v>0</v>
      </c>
      <c r="AE38" s="6">
        <f ca="1">(L38-M38)*(Z38+AA38)+($Z$67+$AA$67-$Z$38-$AA$38)*(L38)</f>
        <v>5601.0911700335673</v>
      </c>
      <c r="AF38" s="4" t="s">
        <v>545</v>
      </c>
    </row>
    <row r="39" spans="1:32" ht="11.25" customHeight="1" x14ac:dyDescent="0.3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30</v>
      </c>
      <c r="F39" s="4" t="s">
        <v>25</v>
      </c>
      <c r="G39" s="4" t="s">
        <v>25</v>
      </c>
      <c r="H39" s="4" t="s">
        <v>25</v>
      </c>
      <c r="I39" s="5">
        <v>44287</v>
      </c>
      <c r="J39" s="6">
        <v>0</v>
      </c>
      <c r="K39" s="6">
        <v>0</v>
      </c>
      <c r="L39" s="6">
        <v>4.13</v>
      </c>
      <c r="M39" s="6">
        <v>4.13</v>
      </c>
      <c r="N39" s="6">
        <v>4.13</v>
      </c>
      <c r="O39" s="6">
        <v>4.13</v>
      </c>
      <c r="P39" s="6">
        <v>9</v>
      </c>
      <c r="Q39" s="4" t="s">
        <v>26</v>
      </c>
      <c r="R39" s="4">
        <v>0</v>
      </c>
      <c r="S39" s="4">
        <v>0</v>
      </c>
      <c r="T39" s="4">
        <v>45</v>
      </c>
      <c r="U39" s="4">
        <v>33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420.02</v>
      </c>
      <c r="X39" s="6">
        <f>IF(ISERROR(VLOOKUP($U$39,'TAR FIN'!$A$1:$O$85,15,0)),0,VLOOKUP($U$39,'TAR FIN'!$A$1:$O$85,15,0))</f>
        <v>121.04</v>
      </c>
      <c r="Y39" s="6"/>
      <c r="Z39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39" s="6">
        <f>('TE BE'!$AA$12+'TE BF'!$AA$12+'TE CVA'!$AA$12)*(1-CUSTOS!$M$35)</f>
        <v>135.47687390389061</v>
      </c>
      <c r="AB39" s="6">
        <f t="shared" si="6"/>
        <v>0</v>
      </c>
      <c r="AC39" s="6">
        <f>(L39-M39)*(W39+X39)+($W$67+$X$67-$W$39-$X$39)*(L39)</f>
        <v>1489.6909999999998</v>
      </c>
      <c r="AD39" s="6">
        <f t="shared" si="7"/>
        <v>0</v>
      </c>
      <c r="AE39" s="6">
        <f ca="1">(L39-M39)*(Z39+AA39)+($Z$67+$AA$67-$Z$39-$AA$39)*(L39)</f>
        <v>1868.161238218343</v>
      </c>
      <c r="AF39" s="4" t="s">
        <v>545</v>
      </c>
    </row>
    <row r="40" spans="1:32" ht="11.25" customHeight="1" x14ac:dyDescent="0.3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30</v>
      </c>
      <c r="F40" s="4" t="s">
        <v>25</v>
      </c>
      <c r="G40" s="4" t="s">
        <v>25</v>
      </c>
      <c r="H40" s="4" t="s">
        <v>25</v>
      </c>
      <c r="I40" s="5">
        <v>44317</v>
      </c>
      <c r="J40" s="6">
        <v>0</v>
      </c>
      <c r="K40" s="6">
        <v>0</v>
      </c>
      <c r="L40" s="6">
        <v>4.41</v>
      </c>
      <c r="M40" s="6">
        <v>4.41</v>
      </c>
      <c r="N40" s="6">
        <v>4.41</v>
      </c>
      <c r="O40" s="6">
        <v>4.41</v>
      </c>
      <c r="P40" s="6">
        <v>14</v>
      </c>
      <c r="Q40" s="4" t="s">
        <v>26</v>
      </c>
      <c r="R40" s="4">
        <v>0</v>
      </c>
      <c r="S40" s="4">
        <v>0</v>
      </c>
      <c r="T40" s="4">
        <v>45</v>
      </c>
      <c r="U40" s="4">
        <v>33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420.02</v>
      </c>
      <c r="X40" s="6">
        <f>IF(ISERROR(VLOOKUP($U$40,'TAR FIN'!$A$1:$O$85,15,0)),0,VLOOKUP($U$40,'TAR FIN'!$A$1:$O$85,15,0))</f>
        <v>121.04</v>
      </c>
      <c r="Y40" s="6"/>
      <c r="Z40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0" s="6">
        <f>('TE BE'!$AA$12+'TE BF'!$AA$12+'TE CVA'!$AA$12)*(1-CUSTOS!$M$35)</f>
        <v>135.47687390389061</v>
      </c>
      <c r="AB40" s="6">
        <f t="shared" si="6"/>
        <v>0</v>
      </c>
      <c r="AC40" s="6">
        <f>(L40-M40)*(W40+X40)+($W$67+$X$67-$W$40-$X$40)*(L40)</f>
        <v>1590.6869999999999</v>
      </c>
      <c r="AD40" s="6">
        <f t="shared" si="7"/>
        <v>0</v>
      </c>
      <c r="AE40" s="6">
        <f ca="1">(L40-M40)*(Z40+AA40)+($Z$67+$AA$67-$Z$40-$AA$40)*(L40)</f>
        <v>1994.8162374195865</v>
      </c>
      <c r="AF40" s="4" t="s">
        <v>545</v>
      </c>
    </row>
    <row r="41" spans="1:32" ht="11.25" customHeight="1" x14ac:dyDescent="0.3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30</v>
      </c>
      <c r="F41" s="4" t="s">
        <v>25</v>
      </c>
      <c r="G41" s="4" t="s">
        <v>25</v>
      </c>
      <c r="H41" s="4" t="s">
        <v>25</v>
      </c>
      <c r="I41" s="5">
        <v>44348</v>
      </c>
      <c r="J41" s="6">
        <v>0</v>
      </c>
      <c r="K41" s="6">
        <v>0</v>
      </c>
      <c r="L41" s="6">
        <v>4.6740000000000004</v>
      </c>
      <c r="M41" s="6">
        <v>4.6740000000000004</v>
      </c>
      <c r="N41" s="6">
        <v>4.6740000000000004</v>
      </c>
      <c r="O41" s="6">
        <v>4.6740000000000004</v>
      </c>
      <c r="P41" s="6">
        <v>13</v>
      </c>
      <c r="Q41" s="4" t="s">
        <v>26</v>
      </c>
      <c r="R41" s="4">
        <v>0</v>
      </c>
      <c r="S41" s="4">
        <v>0</v>
      </c>
      <c r="T41" s="4">
        <v>45</v>
      </c>
      <c r="U41" s="4">
        <v>33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420.02</v>
      </c>
      <c r="X41" s="6">
        <f>IF(ISERROR(VLOOKUP($U$41,'TAR FIN'!$A$1:$O$85,15,0)),0,VLOOKUP($U$41,'TAR FIN'!$A$1:$O$85,15,0))</f>
        <v>121.04</v>
      </c>
      <c r="Y41" s="6"/>
      <c r="Z41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1" s="6">
        <f>('TE BE'!$AA$12+'TE BF'!$AA$12+'TE CVA'!$AA$12)*(1-CUSTOS!$M$35)</f>
        <v>135.47687390389061</v>
      </c>
      <c r="AB41" s="6">
        <f t="shared" si="6"/>
        <v>0</v>
      </c>
      <c r="AC41" s="6">
        <f>(L41-M41)*(W41+X41)+($W$67+$X$67-$W$41-$X$41)*(L41)</f>
        <v>1685.9118000000001</v>
      </c>
      <c r="AD41" s="6">
        <f t="shared" si="7"/>
        <v>0</v>
      </c>
      <c r="AE41" s="6">
        <f ca="1">(L41-M41)*(Z41+AA41)+($Z$67+$AA$67-$Z$41-$AA$41)*(L41)</f>
        <v>2114.2338080950449</v>
      </c>
      <c r="AF41" s="4" t="s">
        <v>545</v>
      </c>
    </row>
    <row r="42" spans="1:32" ht="11.25" customHeight="1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30</v>
      </c>
      <c r="F42" s="4" t="s">
        <v>25</v>
      </c>
      <c r="G42" s="4" t="s">
        <v>25</v>
      </c>
      <c r="H42" s="4" t="s">
        <v>25</v>
      </c>
      <c r="I42" s="5">
        <v>44378</v>
      </c>
      <c r="J42" s="6">
        <v>0</v>
      </c>
      <c r="K42" s="6">
        <v>0</v>
      </c>
      <c r="L42" s="6">
        <v>4.6449999999999996</v>
      </c>
      <c r="M42" s="6">
        <v>4.6449999999999996</v>
      </c>
      <c r="N42" s="6">
        <v>4.6449999999999996</v>
      </c>
      <c r="O42" s="6">
        <v>4.6449999999999996</v>
      </c>
      <c r="P42" s="6">
        <v>16</v>
      </c>
      <c r="Q42" s="4" t="s">
        <v>26</v>
      </c>
      <c r="R42" s="4">
        <v>0</v>
      </c>
      <c r="S42" s="4">
        <v>0</v>
      </c>
      <c r="T42" s="4">
        <v>45</v>
      </c>
      <c r="U42" s="4">
        <v>33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420.02</v>
      </c>
      <c r="X42" s="6">
        <f>IF(ISERROR(VLOOKUP($U$42,'TAR FIN'!$A$1:$O$85,15,0)),0,VLOOKUP($U$42,'TAR FIN'!$A$1:$O$85,15,0))</f>
        <v>121.04</v>
      </c>
      <c r="Y42" s="6"/>
      <c r="Z42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2" s="6">
        <f>('TE BE'!$AA$12+'TE BF'!$AA$12+'TE CVA'!$AA$12)*(1-CUSTOS!$M$35)</f>
        <v>135.47687390389061</v>
      </c>
      <c r="AB42" s="6">
        <f t="shared" si="6"/>
        <v>0</v>
      </c>
      <c r="AC42" s="6">
        <f>(L42-M42)*(W42+X42)+($W$67+$X$67-$W$42-$X$42)*(L42)</f>
        <v>1675.4514999999999</v>
      </c>
      <c r="AD42" s="6">
        <f t="shared" si="7"/>
        <v>0</v>
      </c>
      <c r="AE42" s="6">
        <f ca="1">(L42-M42)*(Z42+AA42)+($Z$67+$AA$67-$Z$42-$AA$42)*(L42)</f>
        <v>2101.1159688920588</v>
      </c>
      <c r="AF42" s="4" t="s">
        <v>545</v>
      </c>
    </row>
    <row r="43" spans="1:32" ht="11.25" customHeight="1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30</v>
      </c>
      <c r="F43" s="4" t="s">
        <v>25</v>
      </c>
      <c r="G43" s="4" t="s">
        <v>25</v>
      </c>
      <c r="H43" s="4" t="s">
        <v>25</v>
      </c>
      <c r="I43" s="5">
        <v>44409</v>
      </c>
      <c r="J43" s="6">
        <v>0</v>
      </c>
      <c r="K43" s="6">
        <v>0</v>
      </c>
      <c r="L43" s="6">
        <v>4.83</v>
      </c>
      <c r="M43" s="6">
        <v>4.83</v>
      </c>
      <c r="N43" s="6">
        <v>4.83</v>
      </c>
      <c r="O43" s="6">
        <v>4.83</v>
      </c>
      <c r="P43" s="6">
        <v>17</v>
      </c>
      <c r="Q43" s="4" t="s">
        <v>26</v>
      </c>
      <c r="R43" s="4">
        <v>0</v>
      </c>
      <c r="S43" s="4">
        <v>0</v>
      </c>
      <c r="T43" s="4">
        <v>45</v>
      </c>
      <c r="U43" s="4">
        <v>33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420.02</v>
      </c>
      <c r="X43" s="6">
        <f>IF(ISERROR(VLOOKUP($U$43,'TAR FIN'!$A$1:$O$85,15,0)),0,VLOOKUP($U$43,'TAR FIN'!$A$1:$O$85,15,0))</f>
        <v>121.04</v>
      </c>
      <c r="Y43" s="6"/>
      <c r="Z43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3" s="6">
        <f>('TE BE'!$AA$12+'TE BF'!$AA$12+'TE CVA'!$AA$12)*(1-CUSTOS!$M$35)</f>
        <v>135.47687390389061</v>
      </c>
      <c r="AB43" s="6">
        <f t="shared" si="6"/>
        <v>0</v>
      </c>
      <c r="AC43" s="6">
        <f>(L43-M43)*(W43+X43)+($W$67+$X$67-$W$43-$X$43)*(L43)</f>
        <v>1742.181</v>
      </c>
      <c r="AD43" s="6">
        <f t="shared" si="7"/>
        <v>0</v>
      </c>
      <c r="AE43" s="6">
        <f ca="1">(L43-M43)*(Z43+AA43)+($Z$67+$AA$67-$Z$43-$AA$43)*(L43)</f>
        <v>2184.7987362214521</v>
      </c>
      <c r="AF43" s="4" t="s">
        <v>545</v>
      </c>
    </row>
    <row r="44" spans="1:32" ht="11.25" customHeight="1" x14ac:dyDescent="0.3">
      <c r="A44" s="4" t="s">
        <v>27</v>
      </c>
      <c r="B44" s="4" t="s">
        <v>22</v>
      </c>
      <c r="C44" s="4" t="s">
        <v>23</v>
      </c>
      <c r="D44" s="4" t="s">
        <v>24</v>
      </c>
      <c r="E44" s="4" t="s">
        <v>30</v>
      </c>
      <c r="F44" s="4" t="s">
        <v>25</v>
      </c>
      <c r="G44" s="4" t="s">
        <v>25</v>
      </c>
      <c r="H44" s="4" t="s">
        <v>25</v>
      </c>
      <c r="I44" s="5">
        <v>44409</v>
      </c>
      <c r="J44" s="6">
        <v>0</v>
      </c>
      <c r="K44" s="6">
        <v>0</v>
      </c>
      <c r="L44" s="6">
        <v>-0.03</v>
      </c>
      <c r="M44" s="6">
        <v>-0.03</v>
      </c>
      <c r="N44" s="6">
        <v>-0.03</v>
      </c>
      <c r="O44" s="6">
        <v>-0.03</v>
      </c>
      <c r="P44" s="6">
        <v>0</v>
      </c>
      <c r="Q44" s="4" t="s">
        <v>26</v>
      </c>
      <c r="R44" s="4">
        <v>0</v>
      </c>
      <c r="S44" s="4">
        <v>0</v>
      </c>
      <c r="T44" s="4">
        <v>45</v>
      </c>
      <c r="U44" s="4">
        <v>33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420.02</v>
      </c>
      <c r="X44" s="6">
        <f>IF(ISERROR(VLOOKUP($U$44,'TAR FIN'!$A$1:$O$85,15,0)),0,VLOOKUP($U$44,'TAR FIN'!$A$1:$O$85,15,0))</f>
        <v>121.04</v>
      </c>
      <c r="Y44" s="6"/>
      <c r="Z44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4" s="6">
        <f>('TE BE'!$AA$12+'TE BF'!$AA$12+'TE CVA'!$AA$12)*(1-CUSTOS!$M$35)</f>
        <v>135.47687390389061</v>
      </c>
      <c r="AB44" s="6">
        <f t="shared" si="6"/>
        <v>0</v>
      </c>
      <c r="AC44" s="6">
        <f>(L44-M44)*(W44+X44)+($W$67+$X$67-$W$44-$X$44)*(L44)</f>
        <v>-10.821</v>
      </c>
      <c r="AD44" s="6">
        <f t="shared" si="7"/>
        <v>0</v>
      </c>
      <c r="AE44" s="6">
        <f ca="1">(L44-M44)*(Z44+AA44)+($Z$67+$AA$67-$Z$44-$AA$44)*(L44)</f>
        <v>-13.570178485847528</v>
      </c>
      <c r="AF44" s="4" t="s">
        <v>545</v>
      </c>
    </row>
    <row r="45" spans="1:32" ht="11.25" customHeight="1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30</v>
      </c>
      <c r="F45" s="4" t="s">
        <v>25</v>
      </c>
      <c r="G45" s="4" t="s">
        <v>25</v>
      </c>
      <c r="H45" s="4" t="s">
        <v>25</v>
      </c>
      <c r="I45" s="5">
        <v>44440</v>
      </c>
      <c r="J45" s="6">
        <v>0</v>
      </c>
      <c r="K45" s="6">
        <v>0</v>
      </c>
      <c r="L45" s="6">
        <v>5.1890000000000001</v>
      </c>
      <c r="M45" s="6">
        <v>5.1890000000000001</v>
      </c>
      <c r="N45" s="6">
        <v>5.1890000000000001</v>
      </c>
      <c r="O45" s="6">
        <v>5.1890000000000001</v>
      </c>
      <c r="P45" s="6">
        <v>14</v>
      </c>
      <c r="Q45" s="4" t="s">
        <v>26</v>
      </c>
      <c r="R45" s="4">
        <v>0</v>
      </c>
      <c r="S45" s="4">
        <v>0</v>
      </c>
      <c r="T45" s="4">
        <v>45</v>
      </c>
      <c r="U45" s="4">
        <v>33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420.02</v>
      </c>
      <c r="X45" s="6">
        <f>IF(ISERROR(VLOOKUP($U$45,'TAR FIN'!$A$1:$O$85,15,0)),0,VLOOKUP($U$45,'TAR FIN'!$A$1:$O$85,15,0))</f>
        <v>121.04</v>
      </c>
      <c r="Y45" s="6"/>
      <c r="Z45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5" s="6">
        <f>('TE BE'!$AA$12+'TE BF'!$AA$12+'TE CVA'!$AA$12)*(1-CUSTOS!$M$35)</f>
        <v>135.47687390389061</v>
      </c>
      <c r="AB45" s="6">
        <f t="shared" si="6"/>
        <v>0</v>
      </c>
      <c r="AC45" s="6">
        <f>(L45-M45)*(W45+X45)+($W$67+$X$67-$W$45-$X$45)*(L45)</f>
        <v>1871.6723</v>
      </c>
      <c r="AD45" s="6">
        <f t="shared" si="7"/>
        <v>0</v>
      </c>
      <c r="AE45" s="6">
        <f ca="1">(L45-M45)*(Z45+AA45)+($Z$67+$AA$67-$Z$45-$AA$45)*(L45)</f>
        <v>2347.1885387687607</v>
      </c>
      <c r="AF45" s="4" t="s">
        <v>545</v>
      </c>
    </row>
    <row r="46" spans="1:32" ht="11.25" customHeight="1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30</v>
      </c>
      <c r="F46" s="4" t="s">
        <v>25</v>
      </c>
      <c r="G46" s="4" t="s">
        <v>25</v>
      </c>
      <c r="H46" s="4" t="s">
        <v>25</v>
      </c>
      <c r="I46" s="5">
        <v>44470</v>
      </c>
      <c r="J46" s="6">
        <v>0</v>
      </c>
      <c r="K46" s="6">
        <v>0</v>
      </c>
      <c r="L46" s="6">
        <v>5.5750000000000002</v>
      </c>
      <c r="M46" s="6">
        <v>5.5750000000000002</v>
      </c>
      <c r="N46" s="6">
        <v>5.5750000000000002</v>
      </c>
      <c r="O46" s="6">
        <v>5.5750000000000002</v>
      </c>
      <c r="P46" s="6">
        <v>12</v>
      </c>
      <c r="Q46" s="4" t="s">
        <v>26</v>
      </c>
      <c r="R46" s="4">
        <v>0</v>
      </c>
      <c r="S46" s="4">
        <v>0</v>
      </c>
      <c r="T46" s="4">
        <v>45</v>
      </c>
      <c r="U46" s="4">
        <v>33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420.02</v>
      </c>
      <c r="X46" s="6">
        <f>IF(ISERROR(VLOOKUP($U$46,'TAR FIN'!$A$1:$O$85,15,0)),0,VLOOKUP($U$46,'TAR FIN'!$A$1:$O$85,15,0))</f>
        <v>121.04</v>
      </c>
      <c r="Y46" s="6"/>
      <c r="Z46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6" s="6">
        <f>('TE BE'!$AA$12+'TE BF'!$AA$12+'TE CVA'!$AA$12)*(1-CUSTOS!$M$35)</f>
        <v>135.47687390389061</v>
      </c>
      <c r="AB46" s="6">
        <f t="shared" si="6"/>
        <v>0</v>
      </c>
      <c r="AC46" s="6">
        <f>(L46-M46)*(W46+X46)+($W$67+$X$67-$W$46-$X$46)*(L46)</f>
        <v>2010.9024999999999</v>
      </c>
      <c r="AD46" s="6">
        <f t="shared" si="7"/>
        <v>0</v>
      </c>
      <c r="AE46" s="6">
        <f ca="1">(L46-M46)*(Z46+AA46)+($Z$67+$AA$67-$Z$46-$AA$46)*(L46)</f>
        <v>2521.7915019533325</v>
      </c>
      <c r="AF46" s="4" t="s">
        <v>545</v>
      </c>
    </row>
    <row r="47" spans="1:32" ht="11.25" customHeight="1" x14ac:dyDescent="0.3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30</v>
      </c>
      <c r="F47" s="4" t="s">
        <v>25</v>
      </c>
      <c r="G47" s="4" t="s">
        <v>25</v>
      </c>
      <c r="H47" s="4" t="s">
        <v>25</v>
      </c>
      <c r="I47" s="5">
        <v>44501</v>
      </c>
      <c r="J47" s="6">
        <v>0</v>
      </c>
      <c r="K47" s="6">
        <v>0</v>
      </c>
      <c r="L47" s="6">
        <v>5.9130000000000003</v>
      </c>
      <c r="M47" s="6">
        <v>5.9130000000000003</v>
      </c>
      <c r="N47" s="6">
        <v>5.9130000000000003</v>
      </c>
      <c r="O47" s="6">
        <v>5.9130000000000003</v>
      </c>
      <c r="P47" s="6">
        <v>19</v>
      </c>
      <c r="Q47" s="4" t="s">
        <v>26</v>
      </c>
      <c r="R47" s="4">
        <v>0</v>
      </c>
      <c r="S47" s="4">
        <v>0</v>
      </c>
      <c r="T47" s="4">
        <v>45</v>
      </c>
      <c r="U47" s="4">
        <v>33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420.02</v>
      </c>
      <c r="X47" s="6">
        <f>IF(ISERROR(VLOOKUP($U$47,'TAR FIN'!$A$1:$O$85,15,0)),0,VLOOKUP($U$47,'TAR FIN'!$A$1:$O$85,15,0))</f>
        <v>121.04</v>
      </c>
      <c r="Y47" s="6"/>
      <c r="Z47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7" s="6">
        <f>('TE BE'!$AA$12+'TE BF'!$AA$12+'TE CVA'!$AA$12)*(1-CUSTOS!$M$35)</f>
        <v>135.47687390389061</v>
      </c>
      <c r="AB47" s="6">
        <f t="shared" si="6"/>
        <v>0</v>
      </c>
      <c r="AC47" s="6">
        <f>(L47-M47)*(W47+X47)+($W$67+$X$67-$W$47-$X$47)*(L47)</f>
        <v>2132.8191000000002</v>
      </c>
      <c r="AD47" s="6">
        <f t="shared" si="7"/>
        <v>0</v>
      </c>
      <c r="AE47" s="6">
        <f ca="1">(L47-M47)*(Z47+AA47)+($Z$67+$AA$67-$Z$47-$AA$47)*(L47)</f>
        <v>2674.6821795605479</v>
      </c>
      <c r="AF47" s="4" t="s">
        <v>545</v>
      </c>
    </row>
    <row r="48" spans="1:32" ht="11.25" customHeight="1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30</v>
      </c>
      <c r="F48" s="4" t="s">
        <v>25</v>
      </c>
      <c r="G48" s="4" t="s">
        <v>25</v>
      </c>
      <c r="H48" s="4" t="s">
        <v>25</v>
      </c>
      <c r="I48" s="5">
        <v>44531</v>
      </c>
      <c r="J48" s="6">
        <v>0</v>
      </c>
      <c r="K48" s="6">
        <v>0</v>
      </c>
      <c r="L48" s="6">
        <v>6.1369999999999996</v>
      </c>
      <c r="M48" s="6">
        <v>6.1369999999999996</v>
      </c>
      <c r="N48" s="6">
        <v>6.1369999999999996</v>
      </c>
      <c r="O48" s="6">
        <v>6.1369999999999996</v>
      </c>
      <c r="P48" s="6">
        <v>9</v>
      </c>
      <c r="Q48" s="4" t="s">
        <v>26</v>
      </c>
      <c r="R48" s="4">
        <v>0</v>
      </c>
      <c r="S48" s="4">
        <v>0</v>
      </c>
      <c r="T48" s="4">
        <v>45</v>
      </c>
      <c r="U48" s="4">
        <v>33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420.02</v>
      </c>
      <c r="X48" s="6">
        <f>IF(ISERROR(VLOOKUP($U$48,'TAR FIN'!$A$1:$O$85,15,0)),0,VLOOKUP($U$48,'TAR FIN'!$A$1:$O$85,15,0))</f>
        <v>121.04</v>
      </c>
      <c r="Y48" s="6"/>
      <c r="Z48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8" s="6">
        <f>('TE BE'!$AA$12+'TE BF'!$AA$12+'TE CVA'!$AA$12)*(1-CUSTOS!$M$35)</f>
        <v>135.47687390389061</v>
      </c>
      <c r="AB48" s="6">
        <f t="shared" si="6"/>
        <v>0</v>
      </c>
      <c r="AC48" s="6">
        <f>(L48-M48)*(W48+X48)+($W$67+$X$67-$W$48-$X$48)*(L48)</f>
        <v>2213.6158999999998</v>
      </c>
      <c r="AD48" s="6">
        <f t="shared" si="7"/>
        <v>0</v>
      </c>
      <c r="AE48" s="6">
        <f ca="1">(L48-M48)*(Z48+AA48)+($Z$67+$AA$67-$Z$48-$AA$48)*(L48)</f>
        <v>2776.0061789215424</v>
      </c>
      <c r="AF48" s="4" t="s">
        <v>545</v>
      </c>
    </row>
    <row r="49" spans="1:32" ht="11.25" customHeight="1" x14ac:dyDescent="0.3">
      <c r="A49" s="4" t="s">
        <v>27</v>
      </c>
      <c r="B49" s="4" t="s">
        <v>22</v>
      </c>
      <c r="C49" s="4" t="s">
        <v>23</v>
      </c>
      <c r="D49" s="4" t="s">
        <v>24</v>
      </c>
      <c r="E49" s="4" t="s">
        <v>30</v>
      </c>
      <c r="F49" s="4" t="s">
        <v>25</v>
      </c>
      <c r="G49" s="4" t="s">
        <v>25</v>
      </c>
      <c r="H49" s="4" t="s">
        <v>25</v>
      </c>
      <c r="I49" s="5">
        <v>44531</v>
      </c>
      <c r="J49" s="6">
        <v>0</v>
      </c>
      <c r="K49" s="6">
        <v>0</v>
      </c>
      <c r="L49" s="6">
        <v>-0.01</v>
      </c>
      <c r="M49" s="6">
        <v>-0.01</v>
      </c>
      <c r="N49" s="6">
        <v>-0.01</v>
      </c>
      <c r="O49" s="6">
        <v>-0.01</v>
      </c>
      <c r="P49" s="6">
        <v>0</v>
      </c>
      <c r="Q49" s="4" t="s">
        <v>26</v>
      </c>
      <c r="R49" s="4">
        <v>0</v>
      </c>
      <c r="S49" s="4">
        <v>0</v>
      </c>
      <c r="T49" s="4">
        <v>45</v>
      </c>
      <c r="U49" s="4">
        <v>33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420.02</v>
      </c>
      <c r="X49" s="6">
        <f>IF(ISERROR(VLOOKUP($U$49,'TAR FIN'!$A$1:$O$85,15,0)),0,VLOOKUP($U$49,'TAR FIN'!$A$1:$O$85,15,0))</f>
        <v>121.04</v>
      </c>
      <c r="Y49" s="6"/>
      <c r="Z49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49" s="6">
        <f>('TE BE'!$AA$12+'TE BF'!$AA$12+'TE CVA'!$AA$12)*(1-CUSTOS!$M$35)</f>
        <v>135.47687390389061</v>
      </c>
      <c r="AB49" s="6">
        <f t="shared" si="6"/>
        <v>0</v>
      </c>
      <c r="AC49" s="6">
        <f>(L49-M49)*(W49+X49)+($W$67+$X$67-$W$49-$X$49)*(L49)</f>
        <v>-3.6069999999999998</v>
      </c>
      <c r="AD49" s="6">
        <f t="shared" si="7"/>
        <v>0</v>
      </c>
      <c r="AE49" s="6">
        <f ca="1">(L49-M49)*(Z49+AA49)+($Z$67+$AA$67-$Z$49-$AA$49)*(L49)</f>
        <v>-4.5233928286158429</v>
      </c>
      <c r="AF49" s="4" t="s">
        <v>545</v>
      </c>
    </row>
    <row r="50" spans="1:32" ht="11.25" customHeight="1" x14ac:dyDescent="0.3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30</v>
      </c>
      <c r="F50" s="4" t="s">
        <v>25</v>
      </c>
      <c r="G50" s="4" t="s">
        <v>25</v>
      </c>
      <c r="H50" s="4" t="s">
        <v>25</v>
      </c>
      <c r="I50" s="5">
        <v>44562</v>
      </c>
      <c r="J50" s="6">
        <v>0</v>
      </c>
      <c r="K50" s="6">
        <v>0</v>
      </c>
      <c r="L50" s="6">
        <v>6.6760000000000002</v>
      </c>
      <c r="M50" s="6">
        <v>6.6760000000000002</v>
      </c>
      <c r="N50" s="6">
        <v>6.6760000000000002</v>
      </c>
      <c r="O50" s="6">
        <v>6.6760000000000002</v>
      </c>
      <c r="P50" s="6">
        <v>10</v>
      </c>
      <c r="Q50" s="4" t="s">
        <v>26</v>
      </c>
      <c r="R50" s="4">
        <v>0</v>
      </c>
      <c r="S50" s="4">
        <v>0</v>
      </c>
      <c r="T50" s="4">
        <v>45</v>
      </c>
      <c r="U50" s="4">
        <v>33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420.02</v>
      </c>
      <c r="X50" s="6">
        <f>IF(ISERROR(VLOOKUP($U$50,'TAR FIN'!$A$1:$O$85,15,0)),0,VLOOKUP($U$50,'TAR FIN'!$A$1:$O$85,15,0))</f>
        <v>121.04</v>
      </c>
      <c r="Y50" s="6"/>
      <c r="Z50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50" s="6">
        <f>('TE BE'!$AA$12+'TE BF'!$AA$12+'TE CVA'!$AA$12)*(1-CUSTOS!$M$35)</f>
        <v>135.47687390389061</v>
      </c>
      <c r="AB50" s="6">
        <f t="shared" si="6"/>
        <v>0</v>
      </c>
      <c r="AC50" s="6">
        <f>(L50-M50)*(W50+X50)+($W$67+$X$67-$W$50-$X$50)*(L50)</f>
        <v>2408.0331999999999</v>
      </c>
      <c r="AD50" s="6">
        <f t="shared" si="7"/>
        <v>0</v>
      </c>
      <c r="AE50" s="6">
        <f ca="1">(L50-M50)*(Z50+AA50)+($Z$67+$AA$67-$Z$50-$AA$50)*(L50)</f>
        <v>3019.8170523839367</v>
      </c>
      <c r="AF50" s="4" t="s">
        <v>545</v>
      </c>
    </row>
    <row r="51" spans="1:32" ht="11.25" customHeight="1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30</v>
      </c>
      <c r="F51" s="4" t="s">
        <v>25</v>
      </c>
      <c r="G51" s="4" t="s">
        <v>25</v>
      </c>
      <c r="H51" s="4" t="s">
        <v>25</v>
      </c>
      <c r="I51" s="5">
        <v>44593</v>
      </c>
      <c r="J51" s="6">
        <v>0</v>
      </c>
      <c r="K51" s="6">
        <v>0</v>
      </c>
      <c r="L51" s="6">
        <v>7.4710000000000001</v>
      </c>
      <c r="M51" s="6">
        <v>7.4710000000000001</v>
      </c>
      <c r="N51" s="6">
        <v>7.4710000000000001</v>
      </c>
      <c r="O51" s="6">
        <v>7.4710000000000001</v>
      </c>
      <c r="P51" s="6">
        <v>13</v>
      </c>
      <c r="Q51" s="4" t="s">
        <v>26</v>
      </c>
      <c r="R51" s="4">
        <v>0</v>
      </c>
      <c r="S51" s="4">
        <v>0</v>
      </c>
      <c r="T51" s="4">
        <v>45</v>
      </c>
      <c r="U51" s="4">
        <v>33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420.02</v>
      </c>
      <c r="X51" s="6">
        <f>IF(ISERROR(VLOOKUP($U$51,'TAR FIN'!$A$1:$O$85,15,0)),0,VLOOKUP($U$51,'TAR FIN'!$A$1:$O$85,15,0))</f>
        <v>121.04</v>
      </c>
      <c r="Y51" s="6"/>
      <c r="Z51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51" s="6">
        <f>('TE BE'!$AA$12+'TE BF'!$AA$12+'TE CVA'!$AA$12)*(1-CUSTOS!$M$35)</f>
        <v>135.47687390389061</v>
      </c>
      <c r="AB51" s="6">
        <f t="shared" si="6"/>
        <v>0</v>
      </c>
      <c r="AC51" s="6">
        <f>(L51-M51)*(W51+X51)+($W$67+$X$67-$W$51-$X$51)*(L51)</f>
        <v>2694.7896999999998</v>
      </c>
      <c r="AD51" s="6">
        <f t="shared" si="7"/>
        <v>0</v>
      </c>
      <c r="AE51" s="6">
        <f ca="1">(L51-M51)*(Z51+AA51)+($Z$67+$AA$67-$Z$51-$AA$51)*(L51)</f>
        <v>3379.4267822588959</v>
      </c>
      <c r="AF51" s="4" t="s">
        <v>545</v>
      </c>
    </row>
    <row r="52" spans="1:32" ht="11.25" customHeight="1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30</v>
      </c>
      <c r="F52" s="4" t="s">
        <v>25</v>
      </c>
      <c r="G52" s="4" t="s">
        <v>25</v>
      </c>
      <c r="H52" s="4" t="s">
        <v>25</v>
      </c>
      <c r="I52" s="5">
        <v>44621</v>
      </c>
      <c r="J52" s="6">
        <v>0</v>
      </c>
      <c r="K52" s="6">
        <v>0</v>
      </c>
      <c r="L52" s="6">
        <v>15.465</v>
      </c>
      <c r="M52" s="6">
        <v>15.465</v>
      </c>
      <c r="N52" s="6">
        <v>15.465</v>
      </c>
      <c r="O52" s="6">
        <v>15.465</v>
      </c>
      <c r="P52" s="6">
        <v>53</v>
      </c>
      <c r="Q52" s="4" t="s">
        <v>26</v>
      </c>
      <c r="R52" s="4">
        <v>0</v>
      </c>
      <c r="S52" s="4">
        <v>0</v>
      </c>
      <c r="T52" s="4">
        <v>45</v>
      </c>
      <c r="U52" s="4">
        <v>33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420.02</v>
      </c>
      <c r="X52" s="6">
        <f>IF(ISERROR(VLOOKUP($U$52,'TAR FIN'!$A$1:$O$85,15,0)),0,VLOOKUP($U$52,'TAR FIN'!$A$1:$O$85,15,0))</f>
        <v>121.04</v>
      </c>
      <c r="Y52" s="6"/>
      <c r="Z52" s="6">
        <f ca="1">('TUSD BE'!$AM$22+'TUSD BF'!$AM$22+'TUSD CVA'!$AM$22-('TUSD BE'!$P$22+'TUSD BF'!$P$22+'TUSD CVA'!$P$22)-('TUSD BE'!$Q$22+'TUSD BF'!$Q$22+'TUSD CVA'!$Q$22)-('TUSD BE'!$R$22+'TUSD BF'!$R$22+'TUSD CVA'!$R$22))*(1-CUSTOS!$M$35)</f>
        <v>543.0320503884858</v>
      </c>
      <c r="AA52" s="6">
        <f>('TE BE'!$AA$12+'TE BF'!$AA$12+'TE CVA'!$AA$12)*(1-CUSTOS!$M$35)</f>
        <v>135.47687390389061</v>
      </c>
      <c r="AB52" s="6">
        <f t="shared" si="6"/>
        <v>0</v>
      </c>
      <c r="AC52" s="6">
        <f>(L52-M52)*(W52+X52)+($W$67+$X$67-$W$52-$X$52)*(L52)</f>
        <v>5578.2254999999996</v>
      </c>
      <c r="AD52" s="6">
        <f t="shared" si="7"/>
        <v>0</v>
      </c>
      <c r="AE52" s="6">
        <f ca="1">(L52-M52)*(Z52+AA52)+($Z$67+$AA$67-$Z$52-$AA$52)*(L52)</f>
        <v>6995.4270094544008</v>
      </c>
      <c r="AF52" s="4" t="s">
        <v>545</v>
      </c>
    </row>
    <row r="53" spans="1:32" ht="11.25" customHeight="1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31</v>
      </c>
      <c r="F53" s="4" t="s">
        <v>25</v>
      </c>
      <c r="G53" s="4" t="s">
        <v>25</v>
      </c>
      <c r="H53" s="4" t="s">
        <v>25</v>
      </c>
      <c r="I53" s="5">
        <v>44287</v>
      </c>
      <c r="J53" s="6">
        <v>0</v>
      </c>
      <c r="K53" s="6">
        <v>0</v>
      </c>
      <c r="L53" s="6">
        <v>3.9220000000000002</v>
      </c>
      <c r="M53" s="6">
        <v>3.9220000000000002</v>
      </c>
      <c r="N53" s="6">
        <v>3.9220000000000002</v>
      </c>
      <c r="O53" s="6">
        <v>3.9220000000000002</v>
      </c>
      <c r="P53" s="6">
        <v>39</v>
      </c>
      <c r="Q53" s="4" t="s">
        <v>26</v>
      </c>
      <c r="R53" s="4">
        <v>0</v>
      </c>
      <c r="S53" s="4">
        <v>0</v>
      </c>
      <c r="T53" s="4">
        <v>40</v>
      </c>
      <c r="U53" s="4">
        <v>27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630.02</v>
      </c>
      <c r="X53" s="6">
        <f>IF(ISERROR(VLOOKUP($U$53,'TAR FIN'!$A$1:$O$85,15,0)),0,VLOOKUP($U$53,'TAR FIN'!$A$1:$O$85,15,0))</f>
        <v>181.56</v>
      </c>
      <c r="Y53" s="6"/>
      <c r="Z53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3" s="6">
        <f>('TE BE'!$AA$13+'TE BF'!$AA$13+'TE CVA'!$AA$13)*(1-CUSTOS!$M$36)</f>
        <v>203.21531085583592</v>
      </c>
      <c r="AB53" s="6">
        <f t="shared" si="6"/>
        <v>0</v>
      </c>
      <c r="AC53" s="6">
        <f>(L53-M53)*(W53+X53)+($W$67+$X$67-$W$53-$X$53)*(L53)</f>
        <v>353.68596000000002</v>
      </c>
      <c r="AD53" s="6">
        <f t="shared" si="7"/>
        <v>0</v>
      </c>
      <c r="AE53" s="6">
        <f ca="1">(L53-M53)*(Z53+AA53)+($Z$67+$AA$67-$Z$53-$AA$53)*(L53)</f>
        <v>443.5186668457834</v>
      </c>
      <c r="AF53" s="4" t="s">
        <v>545</v>
      </c>
    </row>
    <row r="54" spans="1:32" ht="11.25" customHeight="1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31</v>
      </c>
      <c r="F54" s="4" t="s">
        <v>25</v>
      </c>
      <c r="G54" s="4" t="s">
        <v>25</v>
      </c>
      <c r="H54" s="4" t="s">
        <v>25</v>
      </c>
      <c r="I54" s="5">
        <v>44317</v>
      </c>
      <c r="J54" s="6">
        <v>0</v>
      </c>
      <c r="K54" s="6">
        <v>0</v>
      </c>
      <c r="L54" s="6">
        <v>3.9279999999999999</v>
      </c>
      <c r="M54" s="6">
        <v>3.9279999999999999</v>
      </c>
      <c r="N54" s="6">
        <v>3.9279999999999999</v>
      </c>
      <c r="O54" s="6">
        <v>3.9279999999999999</v>
      </c>
      <c r="P54" s="6">
        <v>44</v>
      </c>
      <c r="Q54" s="4" t="s">
        <v>26</v>
      </c>
      <c r="R54" s="4">
        <v>0</v>
      </c>
      <c r="S54" s="4">
        <v>0</v>
      </c>
      <c r="T54" s="4">
        <v>40</v>
      </c>
      <c r="U54" s="4">
        <v>27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630.02</v>
      </c>
      <c r="X54" s="6">
        <f>IF(ISERROR(VLOOKUP($U$54,'TAR FIN'!$A$1:$O$85,15,0)),0,VLOOKUP($U$54,'TAR FIN'!$A$1:$O$85,15,0))</f>
        <v>181.56</v>
      </c>
      <c r="Y54" s="6"/>
      <c r="Z54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4" s="6">
        <f>('TE BE'!$AA$13+'TE BF'!$AA$13+'TE CVA'!$AA$13)*(1-CUSTOS!$M$36)</f>
        <v>203.21531085583592</v>
      </c>
      <c r="AB54" s="6">
        <f t="shared" si="6"/>
        <v>0</v>
      </c>
      <c r="AC54" s="6">
        <f>(L54-M54)*(W54+X54)+($W$67+$X$67-$W$54-$X$54)*(L54)</f>
        <v>354.22704000000004</v>
      </c>
      <c r="AD54" s="6">
        <f t="shared" si="7"/>
        <v>0</v>
      </c>
      <c r="AE54" s="6">
        <f ca="1">(L54-M54)*(Z54+AA54)+($Z$67+$AA$67-$Z$54-$AA$54)*(L54)</f>
        <v>444.19717577007572</v>
      </c>
      <c r="AF54" s="4" t="s">
        <v>545</v>
      </c>
    </row>
    <row r="55" spans="1:32" ht="11.25" customHeight="1" x14ac:dyDescent="0.3">
      <c r="A55" s="4" t="s">
        <v>21</v>
      </c>
      <c r="B55" s="4" t="s">
        <v>22</v>
      </c>
      <c r="C55" s="4" t="s">
        <v>23</v>
      </c>
      <c r="D55" s="4" t="s">
        <v>24</v>
      </c>
      <c r="E55" s="4" t="s">
        <v>31</v>
      </c>
      <c r="F55" s="4" t="s">
        <v>25</v>
      </c>
      <c r="G55" s="4" t="s">
        <v>25</v>
      </c>
      <c r="H55" s="4" t="s">
        <v>25</v>
      </c>
      <c r="I55" s="5">
        <v>44348</v>
      </c>
      <c r="J55" s="6">
        <v>0</v>
      </c>
      <c r="K55" s="6">
        <v>0</v>
      </c>
      <c r="L55" s="6">
        <v>3.9359999999999999</v>
      </c>
      <c r="M55" s="6">
        <v>3.9359999999999999</v>
      </c>
      <c r="N55" s="6">
        <v>3.9359999999999999</v>
      </c>
      <c r="O55" s="6">
        <v>3.9359999999999999</v>
      </c>
      <c r="P55" s="6">
        <v>50</v>
      </c>
      <c r="Q55" s="4" t="s">
        <v>26</v>
      </c>
      <c r="R55" s="4">
        <v>0</v>
      </c>
      <c r="S55" s="4">
        <v>0</v>
      </c>
      <c r="T55" s="4">
        <v>40</v>
      </c>
      <c r="U55" s="4">
        <v>27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630.02</v>
      </c>
      <c r="X55" s="6">
        <f>IF(ISERROR(VLOOKUP($U$55,'TAR FIN'!$A$1:$O$85,15,0)),0,VLOOKUP($U$55,'TAR FIN'!$A$1:$O$85,15,0))</f>
        <v>181.56</v>
      </c>
      <c r="Y55" s="6"/>
      <c r="Z55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5" s="6">
        <f>('TE BE'!$AA$13+'TE BF'!$AA$13+'TE CVA'!$AA$13)*(1-CUSTOS!$M$36)</f>
        <v>203.21531085583592</v>
      </c>
      <c r="AB55" s="6">
        <f t="shared" si="6"/>
        <v>0</v>
      </c>
      <c r="AC55" s="6">
        <f>(L55-M55)*(W55+X55)+($W$67+$X$67-$W$55-$X$55)*(L55)</f>
        <v>354.94848000000002</v>
      </c>
      <c r="AD55" s="6">
        <f t="shared" si="7"/>
        <v>0</v>
      </c>
      <c r="AE55" s="6">
        <f ca="1">(L55-M55)*(Z55+AA55)+($Z$67+$AA$67-$Z$55-$AA$55)*(L55)</f>
        <v>445.10185433579892</v>
      </c>
      <c r="AF55" s="4" t="s">
        <v>545</v>
      </c>
    </row>
    <row r="56" spans="1:32" ht="11.25" customHeight="1" x14ac:dyDescent="0.3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31</v>
      </c>
      <c r="F56" s="4" t="s">
        <v>25</v>
      </c>
      <c r="G56" s="4" t="s">
        <v>25</v>
      </c>
      <c r="H56" s="4" t="s">
        <v>25</v>
      </c>
      <c r="I56" s="5">
        <v>44378</v>
      </c>
      <c r="J56" s="6">
        <v>0</v>
      </c>
      <c r="K56" s="6">
        <v>0</v>
      </c>
      <c r="L56" s="6">
        <v>3.504</v>
      </c>
      <c r="M56" s="6">
        <v>3.504</v>
      </c>
      <c r="N56" s="6">
        <v>3.504</v>
      </c>
      <c r="O56" s="6">
        <v>3.504</v>
      </c>
      <c r="P56" s="6">
        <v>45</v>
      </c>
      <c r="Q56" s="4" t="s">
        <v>26</v>
      </c>
      <c r="R56" s="4">
        <v>0</v>
      </c>
      <c r="S56" s="4">
        <v>0</v>
      </c>
      <c r="T56" s="4">
        <v>40</v>
      </c>
      <c r="U56" s="4">
        <v>27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630.02</v>
      </c>
      <c r="X56" s="6">
        <f>IF(ISERROR(VLOOKUP($U$56,'TAR FIN'!$A$1:$O$85,15,0)),0,VLOOKUP($U$56,'TAR FIN'!$A$1:$O$85,15,0))</f>
        <v>181.56</v>
      </c>
      <c r="Y56" s="6"/>
      <c r="Z56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6" s="6">
        <f>('TE BE'!$AA$13+'TE BF'!$AA$13+'TE CVA'!$AA$13)*(1-CUSTOS!$M$36)</f>
        <v>203.21531085583592</v>
      </c>
      <c r="AB56" s="6">
        <f t="shared" si="6"/>
        <v>0</v>
      </c>
      <c r="AC56" s="6">
        <f>(L56-M56)*(W56+X56)+($W$67+$X$67-$W$56-$X$56)*(L56)</f>
        <v>315.99072000000001</v>
      </c>
      <c r="AD56" s="6">
        <f t="shared" si="7"/>
        <v>0</v>
      </c>
      <c r="AE56" s="6">
        <f ca="1">(L56-M56)*(Z56+AA56)+($Z$67+$AA$67-$Z$56-$AA$56)*(L56)</f>
        <v>396.24921178674782</v>
      </c>
      <c r="AF56" s="4" t="s">
        <v>545</v>
      </c>
    </row>
    <row r="57" spans="1:32" ht="11.25" customHeight="1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31</v>
      </c>
      <c r="F57" s="4" t="s">
        <v>25</v>
      </c>
      <c r="G57" s="4" t="s">
        <v>25</v>
      </c>
      <c r="H57" s="4" t="s">
        <v>25</v>
      </c>
      <c r="I57" s="5">
        <v>44409</v>
      </c>
      <c r="J57" s="6">
        <v>0</v>
      </c>
      <c r="K57" s="6">
        <v>0</v>
      </c>
      <c r="L57" s="6">
        <v>3.944</v>
      </c>
      <c r="M57" s="6">
        <v>3.944</v>
      </c>
      <c r="N57" s="6">
        <v>3.944</v>
      </c>
      <c r="O57" s="6">
        <v>3.944</v>
      </c>
      <c r="P57" s="6">
        <v>45</v>
      </c>
      <c r="Q57" s="4" t="s">
        <v>26</v>
      </c>
      <c r="R57" s="4">
        <v>0</v>
      </c>
      <c r="S57" s="4">
        <v>0</v>
      </c>
      <c r="T57" s="4">
        <v>40</v>
      </c>
      <c r="U57" s="4">
        <v>27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630.02</v>
      </c>
      <c r="X57" s="6">
        <f>IF(ISERROR(VLOOKUP($U$57,'TAR FIN'!$A$1:$O$85,15,0)),0,VLOOKUP($U$57,'TAR FIN'!$A$1:$O$85,15,0))</f>
        <v>181.56</v>
      </c>
      <c r="Y57" s="6"/>
      <c r="Z57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7" s="6">
        <f>('TE BE'!$AA$13+'TE BF'!$AA$13+'TE CVA'!$AA$13)*(1-CUSTOS!$M$36)</f>
        <v>203.21531085583592</v>
      </c>
      <c r="AB57" s="6">
        <f t="shared" si="6"/>
        <v>0</v>
      </c>
      <c r="AC57" s="6">
        <f>(L57-M57)*(W57+X57)+($W$67+$X$67-$W$57-$X$57)*(L57)</f>
        <v>355.66992000000005</v>
      </c>
      <c r="AD57" s="6">
        <f t="shared" si="7"/>
        <v>0</v>
      </c>
      <c r="AE57" s="6">
        <f ca="1">(L57-M57)*(Z57+AA57)+($Z$67+$AA$67-$Z$57-$AA$57)*(L57)</f>
        <v>446.00653290152206</v>
      </c>
      <c r="AF57" s="4" t="s">
        <v>545</v>
      </c>
    </row>
    <row r="58" spans="1:32" ht="11.25" customHeight="1" x14ac:dyDescent="0.3">
      <c r="A58" s="4" t="s">
        <v>27</v>
      </c>
      <c r="B58" s="4" t="s">
        <v>22</v>
      </c>
      <c r="C58" s="4" t="s">
        <v>23</v>
      </c>
      <c r="D58" s="4" t="s">
        <v>24</v>
      </c>
      <c r="E58" s="4" t="s">
        <v>31</v>
      </c>
      <c r="F58" s="4" t="s">
        <v>25</v>
      </c>
      <c r="G58" s="4" t="s">
        <v>25</v>
      </c>
      <c r="H58" s="4" t="s">
        <v>25</v>
      </c>
      <c r="I58" s="5">
        <v>44409</v>
      </c>
      <c r="J58" s="6">
        <v>0</v>
      </c>
      <c r="K58" s="6">
        <v>0</v>
      </c>
      <c r="L58" s="6">
        <v>-4.1000000000000002E-2</v>
      </c>
      <c r="M58" s="6">
        <v>-4.1000000000000002E-2</v>
      </c>
      <c r="N58" s="6">
        <v>-4.1000000000000002E-2</v>
      </c>
      <c r="O58" s="6">
        <v>-4.1000000000000002E-2</v>
      </c>
      <c r="P58" s="6">
        <v>0</v>
      </c>
      <c r="Q58" s="4" t="s">
        <v>26</v>
      </c>
      <c r="R58" s="4">
        <v>0</v>
      </c>
      <c r="S58" s="4">
        <v>0</v>
      </c>
      <c r="T58" s="4">
        <v>40</v>
      </c>
      <c r="U58" s="4">
        <v>27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630.02</v>
      </c>
      <c r="X58" s="6">
        <f>IF(ISERROR(VLOOKUP($U$58,'TAR FIN'!$A$1:$O$85,15,0)),0,VLOOKUP($U$58,'TAR FIN'!$A$1:$O$85,15,0))</f>
        <v>181.56</v>
      </c>
      <c r="Y58" s="6"/>
      <c r="Z58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8" s="6">
        <f>('TE BE'!$AA$13+'TE BF'!$AA$13+'TE CVA'!$AA$13)*(1-CUSTOS!$M$36)</f>
        <v>203.21531085583592</v>
      </c>
      <c r="AB58" s="6">
        <f t="shared" si="6"/>
        <v>0</v>
      </c>
      <c r="AC58" s="6">
        <f>(L58-M58)*(W58+X58)+($W$67+$X$67-$W$58-$X$58)*(L58)</f>
        <v>-3.6973800000000003</v>
      </c>
      <c r="AD58" s="6">
        <f t="shared" si="7"/>
        <v>0</v>
      </c>
      <c r="AE58" s="6">
        <f ca="1">(L58-M58)*(Z58+AA58)+($Z$67+$AA$67-$Z$58-$AA$58)*(L58)</f>
        <v>-4.6364776493312387</v>
      </c>
      <c r="AF58" s="4" t="s">
        <v>545</v>
      </c>
    </row>
    <row r="59" spans="1:32" ht="11.25" customHeight="1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31</v>
      </c>
      <c r="F59" s="4" t="s">
        <v>25</v>
      </c>
      <c r="G59" s="4" t="s">
        <v>25</v>
      </c>
      <c r="H59" s="4" t="s">
        <v>25</v>
      </c>
      <c r="I59" s="5">
        <v>44440</v>
      </c>
      <c r="J59" s="6">
        <v>0</v>
      </c>
      <c r="K59" s="6">
        <v>0</v>
      </c>
      <c r="L59" s="6">
        <v>4.8330000000000002</v>
      </c>
      <c r="M59" s="6">
        <v>4.8330000000000002</v>
      </c>
      <c r="N59" s="6">
        <v>4.8330000000000002</v>
      </c>
      <c r="O59" s="6">
        <v>4.8330000000000002</v>
      </c>
      <c r="P59" s="6">
        <v>44</v>
      </c>
      <c r="Q59" s="4" t="s">
        <v>26</v>
      </c>
      <c r="R59" s="4">
        <v>0</v>
      </c>
      <c r="S59" s="4">
        <v>0</v>
      </c>
      <c r="T59" s="4">
        <v>40</v>
      </c>
      <c r="U59" s="4">
        <v>27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630.02</v>
      </c>
      <c r="X59" s="6">
        <f>IF(ISERROR(VLOOKUP($U$59,'TAR FIN'!$A$1:$O$85,15,0)),0,VLOOKUP($U$59,'TAR FIN'!$A$1:$O$85,15,0))</f>
        <v>181.56</v>
      </c>
      <c r="Y59" s="6"/>
      <c r="Z59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59" s="6">
        <f>('TE BE'!$AA$13+'TE BF'!$AA$13+'TE CVA'!$AA$13)*(1-CUSTOS!$M$36)</f>
        <v>203.21531085583592</v>
      </c>
      <c r="AB59" s="6">
        <f t="shared" si="6"/>
        <v>0</v>
      </c>
      <c r="AC59" s="6">
        <f>(L59-M59)*(W59+X59)+($W$67+$X$67-$W$59-$X$59)*(L59)</f>
        <v>435.83994000000007</v>
      </c>
      <c r="AD59" s="6">
        <f t="shared" si="7"/>
        <v>0</v>
      </c>
      <c r="AE59" s="6">
        <f ca="1">(L59-M59)*(Z59+AA59)+($Z$67+$AA$67-$Z$59-$AA$59)*(L59)</f>
        <v>546.53893851750922</v>
      </c>
      <c r="AF59" s="4" t="s">
        <v>545</v>
      </c>
    </row>
    <row r="60" spans="1:32" ht="11.25" customHeight="1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31</v>
      </c>
      <c r="F60" s="4" t="s">
        <v>25</v>
      </c>
      <c r="G60" s="4" t="s">
        <v>25</v>
      </c>
      <c r="H60" s="4" t="s">
        <v>25</v>
      </c>
      <c r="I60" s="5">
        <v>44470</v>
      </c>
      <c r="J60" s="6">
        <v>0</v>
      </c>
      <c r="K60" s="6">
        <v>0</v>
      </c>
      <c r="L60" s="6">
        <v>4.8239999999999998</v>
      </c>
      <c r="M60" s="6">
        <v>4.8239999999999998</v>
      </c>
      <c r="N60" s="6">
        <v>4.8239999999999998</v>
      </c>
      <c r="O60" s="6">
        <v>4.8239999999999998</v>
      </c>
      <c r="P60" s="6">
        <v>55</v>
      </c>
      <c r="Q60" s="4" t="s">
        <v>26</v>
      </c>
      <c r="R60" s="4">
        <v>0</v>
      </c>
      <c r="S60" s="4">
        <v>0</v>
      </c>
      <c r="T60" s="4">
        <v>40</v>
      </c>
      <c r="U60" s="4">
        <v>27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630.02</v>
      </c>
      <c r="X60" s="6">
        <f>IF(ISERROR(VLOOKUP($U$60,'TAR FIN'!$A$1:$O$85,15,0)),0,VLOOKUP($U$60,'TAR FIN'!$A$1:$O$85,15,0))</f>
        <v>181.56</v>
      </c>
      <c r="Y60" s="6"/>
      <c r="Z60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0" s="6">
        <f>('TE BE'!$AA$13+'TE BF'!$AA$13+'TE CVA'!$AA$13)*(1-CUSTOS!$M$36)</f>
        <v>203.21531085583592</v>
      </c>
      <c r="AB60" s="6">
        <f t="shared" si="6"/>
        <v>0</v>
      </c>
      <c r="AC60" s="6">
        <f>(L60-M60)*(W60+X60)+($W$67+$X$67-$W$60-$X$60)*(L60)</f>
        <v>435.02832000000001</v>
      </c>
      <c r="AD60" s="6">
        <f t="shared" si="7"/>
        <v>0</v>
      </c>
      <c r="AE60" s="6">
        <f ca="1">(L60-M60)*(Z60+AA60)+($Z$67+$AA$67-$Z$60-$AA$60)*(L60)</f>
        <v>545.52117513107055</v>
      </c>
      <c r="AF60" s="4" t="s">
        <v>545</v>
      </c>
    </row>
    <row r="61" spans="1:32" ht="11.25" customHeight="1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31</v>
      </c>
      <c r="F61" s="4" t="s">
        <v>25</v>
      </c>
      <c r="G61" s="4" t="s">
        <v>25</v>
      </c>
      <c r="H61" s="4" t="s">
        <v>25</v>
      </c>
      <c r="I61" s="5">
        <v>44501</v>
      </c>
      <c r="J61" s="6">
        <v>0</v>
      </c>
      <c r="K61" s="6">
        <v>0</v>
      </c>
      <c r="L61" s="6">
        <v>4.6840000000000002</v>
      </c>
      <c r="M61" s="6">
        <v>4.6840000000000002</v>
      </c>
      <c r="N61" s="6">
        <v>4.6840000000000002</v>
      </c>
      <c r="O61" s="6">
        <v>4.6840000000000002</v>
      </c>
      <c r="P61" s="6">
        <v>54</v>
      </c>
      <c r="Q61" s="4" t="s">
        <v>26</v>
      </c>
      <c r="R61" s="4">
        <v>0</v>
      </c>
      <c r="S61" s="4">
        <v>0</v>
      </c>
      <c r="T61" s="4">
        <v>40</v>
      </c>
      <c r="U61" s="4">
        <v>27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630.02</v>
      </c>
      <c r="X61" s="6">
        <f>IF(ISERROR(VLOOKUP($U$61,'TAR FIN'!$A$1:$O$85,15,0)),0,VLOOKUP($U$61,'TAR FIN'!$A$1:$O$85,15,0))</f>
        <v>181.56</v>
      </c>
      <c r="Y61" s="6"/>
      <c r="Z61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1" s="6">
        <f>('TE BE'!$AA$13+'TE BF'!$AA$13+'TE CVA'!$AA$13)*(1-CUSTOS!$M$36)</f>
        <v>203.21531085583592</v>
      </c>
      <c r="AB61" s="6">
        <f t="shared" si="6"/>
        <v>0</v>
      </c>
      <c r="AC61" s="6">
        <f>(L61-M61)*(W61+X61)+($W$67+$X$67-$W$61-$X$61)*(L61)</f>
        <v>422.40312000000006</v>
      </c>
      <c r="AD61" s="6">
        <f t="shared" si="7"/>
        <v>0</v>
      </c>
      <c r="AE61" s="6">
        <f ca="1">(L61-M61)*(Z61+AA61)+($Z$67+$AA$67-$Z$61-$AA$61)*(L61)</f>
        <v>529.68930023091514</v>
      </c>
      <c r="AF61" s="4" t="s">
        <v>545</v>
      </c>
    </row>
    <row r="62" spans="1:32" ht="11.25" customHeight="1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31</v>
      </c>
      <c r="F62" s="4" t="s">
        <v>25</v>
      </c>
      <c r="G62" s="4" t="s">
        <v>25</v>
      </c>
      <c r="H62" s="4" t="s">
        <v>25</v>
      </c>
      <c r="I62" s="5">
        <v>44531</v>
      </c>
      <c r="J62" s="6">
        <v>0</v>
      </c>
      <c r="K62" s="6">
        <v>0</v>
      </c>
      <c r="L62" s="6">
        <v>5.4850000000000003</v>
      </c>
      <c r="M62" s="6">
        <v>5.4850000000000003</v>
      </c>
      <c r="N62" s="6">
        <v>5.4850000000000003</v>
      </c>
      <c r="O62" s="6">
        <v>5.4850000000000003</v>
      </c>
      <c r="P62" s="6">
        <v>62</v>
      </c>
      <c r="Q62" s="4" t="s">
        <v>26</v>
      </c>
      <c r="R62" s="4">
        <v>0</v>
      </c>
      <c r="S62" s="4">
        <v>0</v>
      </c>
      <c r="T62" s="4">
        <v>40</v>
      </c>
      <c r="U62" s="4">
        <v>27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630.02</v>
      </c>
      <c r="X62" s="6">
        <f>IF(ISERROR(VLOOKUP($U$62,'TAR FIN'!$A$1:$O$85,15,0)),0,VLOOKUP($U$62,'TAR FIN'!$A$1:$O$85,15,0))</f>
        <v>181.56</v>
      </c>
      <c r="Y62" s="6"/>
      <c r="Z62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2" s="6">
        <f>('TE BE'!$AA$13+'TE BF'!$AA$13+'TE CVA'!$AA$13)*(1-CUSTOS!$M$36)</f>
        <v>203.21531085583592</v>
      </c>
      <c r="AB62" s="6">
        <f t="shared" si="6"/>
        <v>0</v>
      </c>
      <c r="AC62" s="6">
        <f>(L62-M62)*(W62+X62)+($W$67+$X$67-$W$62-$X$62)*(L62)</f>
        <v>494.63730000000004</v>
      </c>
      <c r="AD62" s="6">
        <f t="shared" si="7"/>
        <v>0</v>
      </c>
      <c r="AE62" s="6">
        <f ca="1">(L62-M62)*(Z62+AA62)+($Z$67+$AA$67-$Z$62-$AA$62)*(L62)</f>
        <v>620.27024162394741</v>
      </c>
      <c r="AF62" s="4" t="s">
        <v>545</v>
      </c>
    </row>
    <row r="63" spans="1:32" ht="11.25" customHeight="1" x14ac:dyDescent="0.3">
      <c r="A63" s="4" t="s">
        <v>27</v>
      </c>
      <c r="B63" s="4" t="s">
        <v>22</v>
      </c>
      <c r="C63" s="4" t="s">
        <v>23</v>
      </c>
      <c r="D63" s="4" t="s">
        <v>24</v>
      </c>
      <c r="E63" s="4" t="s">
        <v>31</v>
      </c>
      <c r="F63" s="4" t="s">
        <v>25</v>
      </c>
      <c r="G63" s="4" t="s">
        <v>25</v>
      </c>
      <c r="H63" s="4" t="s">
        <v>25</v>
      </c>
      <c r="I63" s="5">
        <v>44531</v>
      </c>
      <c r="J63" s="6">
        <v>0</v>
      </c>
      <c r="K63" s="6">
        <v>0</v>
      </c>
      <c r="L63" s="6">
        <v>-5.1999999999999998E-2</v>
      </c>
      <c r="M63" s="6">
        <v>-5.1999999999999998E-2</v>
      </c>
      <c r="N63" s="6">
        <v>-5.1999999999999998E-2</v>
      </c>
      <c r="O63" s="6">
        <v>-5.1999999999999998E-2</v>
      </c>
      <c r="P63" s="6">
        <v>0</v>
      </c>
      <c r="Q63" s="4" t="s">
        <v>26</v>
      </c>
      <c r="R63" s="4">
        <v>0</v>
      </c>
      <c r="S63" s="4">
        <v>0</v>
      </c>
      <c r="T63" s="4">
        <v>40</v>
      </c>
      <c r="U63" s="4">
        <v>27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630.02</v>
      </c>
      <c r="X63" s="6">
        <f>IF(ISERROR(VLOOKUP($U$63,'TAR FIN'!$A$1:$O$85,15,0)),0,VLOOKUP($U$63,'TAR FIN'!$A$1:$O$85,15,0))</f>
        <v>181.56</v>
      </c>
      <c r="Y63" s="6"/>
      <c r="Z63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3" s="6">
        <f>('TE BE'!$AA$13+'TE BF'!$AA$13+'TE CVA'!$AA$13)*(1-CUSTOS!$M$36)</f>
        <v>203.21531085583592</v>
      </c>
      <c r="AB63" s="6">
        <f t="shared" si="6"/>
        <v>0</v>
      </c>
      <c r="AC63" s="6">
        <f>(L63-M63)*(W63+X63)+($W$67+$X$67-$W$63-$X$63)*(L63)</f>
        <v>-4.6893599999999998</v>
      </c>
      <c r="AD63" s="6">
        <f t="shared" si="7"/>
        <v>0</v>
      </c>
      <c r="AE63" s="6">
        <f ca="1">(L63-M63)*(Z63+AA63)+($Z$67+$AA$67-$Z$63-$AA$63)*(L63)</f>
        <v>-5.8804106772005946</v>
      </c>
      <c r="AF63" s="4" t="s">
        <v>545</v>
      </c>
    </row>
    <row r="64" spans="1:32" ht="11.25" customHeight="1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31</v>
      </c>
      <c r="F64" s="4" t="s">
        <v>25</v>
      </c>
      <c r="G64" s="4" t="s">
        <v>25</v>
      </c>
      <c r="H64" s="4" t="s">
        <v>25</v>
      </c>
      <c r="I64" s="5">
        <v>44562</v>
      </c>
      <c r="J64" s="6">
        <v>0</v>
      </c>
      <c r="K64" s="6">
        <v>0</v>
      </c>
      <c r="L64" s="6">
        <v>6.1559999999999997</v>
      </c>
      <c r="M64" s="6">
        <v>6.1559999999999997</v>
      </c>
      <c r="N64" s="6">
        <v>6.1559999999999997</v>
      </c>
      <c r="O64" s="6">
        <v>6.1559999999999997</v>
      </c>
      <c r="P64" s="6">
        <v>70</v>
      </c>
      <c r="Q64" s="4" t="s">
        <v>26</v>
      </c>
      <c r="R64" s="4">
        <v>0</v>
      </c>
      <c r="S64" s="4">
        <v>0</v>
      </c>
      <c r="T64" s="4">
        <v>40</v>
      </c>
      <c r="U64" s="4">
        <v>27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630.02</v>
      </c>
      <c r="X64" s="6">
        <f>IF(ISERROR(VLOOKUP($U$64,'TAR FIN'!$A$1:$O$85,15,0)),0,VLOOKUP($U$64,'TAR FIN'!$A$1:$O$85,15,0))</f>
        <v>181.56</v>
      </c>
      <c r="Y64" s="6"/>
      <c r="Z64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4" s="6">
        <f>('TE BE'!$AA$13+'TE BF'!$AA$13+'TE CVA'!$AA$13)*(1-CUSTOS!$M$36)</f>
        <v>203.21531085583592</v>
      </c>
      <c r="AB64" s="6">
        <f t="shared" si="6"/>
        <v>0</v>
      </c>
      <c r="AC64" s="6">
        <f>(L64-M64)*(W64+X64)+($W$67+$X$67-$W$64-$X$64)*(L64)</f>
        <v>555.14808000000005</v>
      </c>
      <c r="AD64" s="6">
        <f t="shared" si="7"/>
        <v>0</v>
      </c>
      <c r="AE64" s="6">
        <f ca="1">(L64-M64)*(Z64+AA64)+($Z$67+$AA$67-$Z$64-$AA$64)*(L64)</f>
        <v>696.15015632397808</v>
      </c>
      <c r="AF64" s="4" t="s">
        <v>545</v>
      </c>
    </row>
    <row r="65" spans="1:32" ht="11.25" customHeight="1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31</v>
      </c>
      <c r="F65" s="4" t="s">
        <v>25</v>
      </c>
      <c r="G65" s="4" t="s">
        <v>25</v>
      </c>
      <c r="H65" s="4" t="s">
        <v>25</v>
      </c>
      <c r="I65" s="5">
        <v>44593</v>
      </c>
      <c r="J65" s="6">
        <v>0</v>
      </c>
      <c r="K65" s="6">
        <v>0</v>
      </c>
      <c r="L65" s="6">
        <v>6.8220000000000001</v>
      </c>
      <c r="M65" s="6">
        <v>6.8220000000000001</v>
      </c>
      <c r="N65" s="6">
        <v>6.8220000000000001</v>
      </c>
      <c r="O65" s="6">
        <v>6.8220000000000001</v>
      </c>
      <c r="P65" s="6">
        <v>72</v>
      </c>
      <c r="Q65" s="4" t="s">
        <v>26</v>
      </c>
      <c r="R65" s="4">
        <v>0</v>
      </c>
      <c r="S65" s="4">
        <v>0</v>
      </c>
      <c r="T65" s="4">
        <v>40</v>
      </c>
      <c r="U65" s="4">
        <v>27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630.02</v>
      </c>
      <c r="X65" s="6">
        <f>IF(ISERROR(VLOOKUP($U$65,'TAR FIN'!$A$1:$O$85,15,0)),0,VLOOKUP($U$65,'TAR FIN'!$A$1:$O$85,15,0))</f>
        <v>181.56</v>
      </c>
      <c r="Y65" s="6"/>
      <c r="Z65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5" s="6">
        <f>('TE BE'!$AA$13+'TE BF'!$AA$13+'TE CVA'!$AA$13)*(1-CUSTOS!$M$36)</f>
        <v>203.21531085583592</v>
      </c>
      <c r="AB65" s="6">
        <f t="shared" si="6"/>
        <v>0</v>
      </c>
      <c r="AC65" s="6">
        <f>(L65-M65)*(W65+X65)+($W$67+$X$67-$W$65-$X$65)*(L65)</f>
        <v>615.20796000000007</v>
      </c>
      <c r="AD65" s="6">
        <f t="shared" si="7"/>
        <v>0</v>
      </c>
      <c r="AE65" s="6">
        <f ca="1">(L65-M65)*(Z65+AA65)+($Z$67+$AA$67-$Z$65-$AA$65)*(L65)</f>
        <v>771.46464692043196</v>
      </c>
      <c r="AF65" s="4" t="s">
        <v>545</v>
      </c>
    </row>
    <row r="66" spans="1:32" ht="11.25" customHeight="1" x14ac:dyDescent="0.3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31</v>
      </c>
      <c r="F66" s="4" t="s">
        <v>25</v>
      </c>
      <c r="G66" s="4" t="s">
        <v>25</v>
      </c>
      <c r="H66" s="4" t="s">
        <v>25</v>
      </c>
      <c r="I66" s="5">
        <v>44621</v>
      </c>
      <c r="J66" s="6">
        <v>0</v>
      </c>
      <c r="K66" s="6">
        <v>0</v>
      </c>
      <c r="L66" s="6">
        <v>12.817</v>
      </c>
      <c r="M66" s="6">
        <v>12.817</v>
      </c>
      <c r="N66" s="6">
        <v>12.817</v>
      </c>
      <c r="O66" s="6">
        <v>12.817</v>
      </c>
      <c r="P66" s="6">
        <v>145</v>
      </c>
      <c r="Q66" s="4" t="s">
        <v>26</v>
      </c>
      <c r="R66" s="4">
        <v>0</v>
      </c>
      <c r="S66" s="4">
        <v>0</v>
      </c>
      <c r="T66" s="4">
        <v>40</v>
      </c>
      <c r="U66" s="4">
        <v>27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630.02</v>
      </c>
      <c r="X66" s="6">
        <f>IF(ISERROR(VLOOKUP($U$66,'TAR FIN'!$A$1:$O$85,15,0)),0,VLOOKUP($U$66,'TAR FIN'!$A$1:$O$85,15,0))</f>
        <v>181.56</v>
      </c>
      <c r="Y66" s="6"/>
      <c r="Z66" s="6">
        <f ca="1">('TUSD BE'!$AM$23+'TUSD BF'!$AM$23+'TUSD CVA'!$AM$23-('TUSD BE'!$P$23+'TUSD BF'!$P$23+'TUSD CVA'!$P$23)-('TUSD BE'!$Q$23+'TUSD BF'!$Q$23+'TUSD CVA'!$Q$23)-('TUSD BE'!$R$23+'TUSD BF'!$R$23+'TUSD CVA'!$R$23))*(1-CUSTOS!$M$36)</f>
        <v>814.54807558272864</v>
      </c>
      <c r="AA66" s="6">
        <f>('TE BE'!$AA$13+'TE BF'!$AA$13+'TE CVA'!$AA$13)*(1-CUSTOS!$M$36)</f>
        <v>203.21531085583592</v>
      </c>
      <c r="AB66" s="6">
        <f t="shared" ref="AB66:AB97" si="8">(J66-K66)*V66</f>
        <v>0</v>
      </c>
      <c r="AC66" s="6">
        <f>(L66-M66)*(W66+X66)+($W$67+$X$67-$W$66-$X$66)*(L66)</f>
        <v>1155.8370600000001</v>
      </c>
      <c r="AD66" s="6">
        <f t="shared" ref="AD66:AD97" si="9">(J66-K66)*Y66</f>
        <v>0</v>
      </c>
      <c r="AE66" s="6">
        <f ca="1">(L66-M66)*(Z66+AA66)+($Z$67+$AA$67-$Z$66-$AA$66)*(L66)</f>
        <v>1449.4081471092313</v>
      </c>
      <c r="AF66" s="4" t="s">
        <v>545</v>
      </c>
    </row>
    <row r="67" spans="1:32" ht="11.25" customHeight="1" x14ac:dyDescent="0.3">
      <c r="A67" s="4" t="s">
        <v>21</v>
      </c>
      <c r="B67" s="4" t="s">
        <v>22</v>
      </c>
      <c r="C67" s="4" t="s">
        <v>23</v>
      </c>
      <c r="D67" s="4" t="s">
        <v>24</v>
      </c>
      <c r="E67" s="4" t="s">
        <v>32</v>
      </c>
      <c r="F67" s="4" t="s">
        <v>25</v>
      </c>
      <c r="G67" s="4" t="s">
        <v>25</v>
      </c>
      <c r="H67" s="4" t="s">
        <v>25</v>
      </c>
      <c r="I67" s="5">
        <v>44287</v>
      </c>
      <c r="J67" s="6">
        <v>0</v>
      </c>
      <c r="K67" s="6">
        <v>0</v>
      </c>
      <c r="L67" s="6">
        <v>1.7529999999999999</v>
      </c>
      <c r="M67" s="6">
        <v>1.7529999999999999</v>
      </c>
      <c r="N67" s="6">
        <v>1.7529999999999999</v>
      </c>
      <c r="O67" s="6">
        <v>1.7529999999999999</v>
      </c>
      <c r="P67" s="6">
        <v>14</v>
      </c>
      <c r="Q67" s="4" t="s">
        <v>26</v>
      </c>
      <c r="R67" s="4">
        <v>0</v>
      </c>
      <c r="S67" s="4">
        <v>0</v>
      </c>
      <c r="T67" s="4">
        <v>41</v>
      </c>
      <c r="U67" s="4">
        <v>28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700.03</v>
      </c>
      <c r="X67" s="6">
        <f>IF(ISERROR(VLOOKUP($U$67,'TAR FIN'!$A$1:$O$85,15,0)),0,VLOOKUP($U$67,'TAR FIN'!$A$1:$O$85,15,0))</f>
        <v>201.73</v>
      </c>
      <c r="Y67" s="6"/>
      <c r="Z67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67" s="6">
        <f>('TE BE'!$AA$14+'TE BF'!$AA$14+'TE CVA'!$AA$14)*(1-CUSTOS!$M$37)</f>
        <v>225.7947898398177</v>
      </c>
      <c r="AB67" s="6">
        <f t="shared" si="8"/>
        <v>0</v>
      </c>
      <c r="AC67" s="6">
        <f>(L67-M67)*(W67+X67)+($W$67+$X$67-$W$67-$X$67)*(L67)</f>
        <v>4.9823256631498222E-14</v>
      </c>
      <c r="AD67" s="6">
        <f t="shared" si="9"/>
        <v>0</v>
      </c>
      <c r="AE67" s="6">
        <f ca="1">(L67-M67)*(Z67+AA67)+($Z$67+$AA$67-$Z$67-$AA$67)*(L67)</f>
        <v>-4.9823256631498222E-14</v>
      </c>
      <c r="AF67" s="4" t="s">
        <v>545</v>
      </c>
    </row>
    <row r="68" spans="1:32" ht="11.25" customHeight="1" x14ac:dyDescent="0.3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32</v>
      </c>
      <c r="F68" s="4" t="s">
        <v>25</v>
      </c>
      <c r="G68" s="4" t="s">
        <v>25</v>
      </c>
      <c r="H68" s="4" t="s">
        <v>25</v>
      </c>
      <c r="I68" s="5">
        <v>44317</v>
      </c>
      <c r="J68" s="6">
        <v>0</v>
      </c>
      <c r="K68" s="6">
        <v>0</v>
      </c>
      <c r="L68" s="6">
        <v>1.304</v>
      </c>
      <c r="M68" s="6">
        <v>1.304</v>
      </c>
      <c r="N68" s="6">
        <v>1.304</v>
      </c>
      <c r="O68" s="6">
        <v>1.304</v>
      </c>
      <c r="P68" s="6">
        <v>10</v>
      </c>
      <c r="Q68" s="4" t="s">
        <v>26</v>
      </c>
      <c r="R68" s="4">
        <v>0</v>
      </c>
      <c r="S68" s="4">
        <v>0</v>
      </c>
      <c r="T68" s="4">
        <v>41</v>
      </c>
      <c r="U68" s="4">
        <v>28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700.03</v>
      </c>
      <c r="X68" s="6">
        <f>IF(ISERROR(VLOOKUP($U$68,'TAR FIN'!$A$1:$O$85,15,0)),0,VLOOKUP($U$68,'TAR FIN'!$A$1:$O$85,15,0))</f>
        <v>201.73</v>
      </c>
      <c r="Y68" s="6"/>
      <c r="Z68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68" s="6">
        <f>('TE BE'!$AA$14+'TE BF'!$AA$14+'TE CVA'!$AA$14)*(1-CUSTOS!$M$37)</f>
        <v>225.7947898398177</v>
      </c>
      <c r="AB68" s="6">
        <f t="shared" si="8"/>
        <v>0</v>
      </c>
      <c r="AC68" s="6">
        <f>(L68-M68)*(W68+X68)+($W$67+$X$67-$W$68-$X$68)*(L68)</f>
        <v>3.7061909097246827E-14</v>
      </c>
      <c r="AD68" s="6">
        <f t="shared" si="9"/>
        <v>0</v>
      </c>
      <c r="AE68" s="6">
        <f ca="1">(L68-M68)*(Z68+AA68)+($Z$67+$AA$67-$Z$68-$AA$68)*(L68)</f>
        <v>-3.7061909097246827E-14</v>
      </c>
      <c r="AF68" s="4" t="s">
        <v>545</v>
      </c>
    </row>
    <row r="69" spans="1:32" ht="11.25" customHeight="1" x14ac:dyDescent="0.3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32</v>
      </c>
      <c r="F69" s="4" t="s">
        <v>25</v>
      </c>
      <c r="G69" s="4" t="s">
        <v>25</v>
      </c>
      <c r="H69" s="4" t="s">
        <v>25</v>
      </c>
      <c r="I69" s="5">
        <v>44348</v>
      </c>
      <c r="J69" s="6">
        <v>0</v>
      </c>
      <c r="K69" s="6">
        <v>0</v>
      </c>
      <c r="L69" s="6">
        <v>1.218</v>
      </c>
      <c r="M69" s="6">
        <v>1.218</v>
      </c>
      <c r="N69" s="6">
        <v>1.218</v>
      </c>
      <c r="O69" s="6">
        <v>1.218</v>
      </c>
      <c r="P69" s="6">
        <v>8</v>
      </c>
      <c r="Q69" s="4" t="s">
        <v>26</v>
      </c>
      <c r="R69" s="4">
        <v>0</v>
      </c>
      <c r="S69" s="4">
        <v>0</v>
      </c>
      <c r="T69" s="4">
        <v>41</v>
      </c>
      <c r="U69" s="4">
        <v>28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700.03</v>
      </c>
      <c r="X69" s="6">
        <f>IF(ISERROR(VLOOKUP($U$69,'TAR FIN'!$A$1:$O$85,15,0)),0,VLOOKUP($U$69,'TAR FIN'!$A$1:$O$85,15,0))</f>
        <v>201.73</v>
      </c>
      <c r="Y69" s="6"/>
      <c r="Z69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69" s="6">
        <f>('TE BE'!$AA$14+'TE BF'!$AA$14+'TE CVA'!$AA$14)*(1-CUSTOS!$M$37)</f>
        <v>225.7947898398177</v>
      </c>
      <c r="AB69" s="6">
        <f t="shared" si="8"/>
        <v>0</v>
      </c>
      <c r="AC69" s="6">
        <f>(L69-M69)*(W69+X69)+($W$67+$X$67-$W$69-$X$69)*(L69)</f>
        <v>3.461764208623208E-14</v>
      </c>
      <c r="AD69" s="6">
        <f t="shared" si="9"/>
        <v>0</v>
      </c>
      <c r="AE69" s="6">
        <f ca="1">(L69-M69)*(Z69+AA69)+($Z$67+$AA$67-$Z$69-$AA$69)*(L69)</f>
        <v>-3.461764208623208E-14</v>
      </c>
      <c r="AF69" s="4" t="s">
        <v>545</v>
      </c>
    </row>
    <row r="70" spans="1:32" ht="11.25" customHeight="1" x14ac:dyDescent="0.3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32</v>
      </c>
      <c r="F70" s="4" t="s">
        <v>25</v>
      </c>
      <c r="G70" s="4" t="s">
        <v>25</v>
      </c>
      <c r="H70" s="4" t="s">
        <v>25</v>
      </c>
      <c r="I70" s="5">
        <v>44378</v>
      </c>
      <c r="J70" s="6">
        <v>0</v>
      </c>
      <c r="K70" s="6">
        <v>0</v>
      </c>
      <c r="L70" s="6">
        <v>1.37</v>
      </c>
      <c r="M70" s="6">
        <v>1.37</v>
      </c>
      <c r="N70" s="6">
        <v>1.37</v>
      </c>
      <c r="O70" s="6">
        <v>1.37</v>
      </c>
      <c r="P70" s="6">
        <v>11</v>
      </c>
      <c r="Q70" s="4" t="s">
        <v>26</v>
      </c>
      <c r="R70" s="4">
        <v>0</v>
      </c>
      <c r="S70" s="4">
        <v>0</v>
      </c>
      <c r="T70" s="4">
        <v>41</v>
      </c>
      <c r="U70" s="4">
        <v>28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700.03</v>
      </c>
      <c r="X70" s="6">
        <f>IF(ISERROR(VLOOKUP($U$70,'TAR FIN'!$A$1:$O$85,15,0)),0,VLOOKUP($U$70,'TAR FIN'!$A$1:$O$85,15,0))</f>
        <v>201.73</v>
      </c>
      <c r="Y70" s="6"/>
      <c r="Z70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0" s="6">
        <f>('TE BE'!$AA$14+'TE BF'!$AA$14+'TE CVA'!$AA$14)*(1-CUSTOS!$M$37)</f>
        <v>225.7947898398177</v>
      </c>
      <c r="AB70" s="6">
        <f t="shared" si="8"/>
        <v>0</v>
      </c>
      <c r="AC70" s="6">
        <f>(L70-M70)*(W70+X70)+($W$67+$X$67-$W$70-$X$70)*(L70)</f>
        <v>3.8937741919653493E-14</v>
      </c>
      <c r="AD70" s="6">
        <f t="shared" si="9"/>
        <v>0</v>
      </c>
      <c r="AE70" s="6">
        <f ca="1">(L70-M70)*(Z70+AA70)+($Z$67+$AA$67-$Z$70-$AA$70)*(L70)</f>
        <v>-3.8937741919653493E-14</v>
      </c>
      <c r="AF70" s="4" t="s">
        <v>545</v>
      </c>
    </row>
    <row r="71" spans="1:32" ht="11.25" customHeight="1" x14ac:dyDescent="0.3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32</v>
      </c>
      <c r="F71" s="4" t="s">
        <v>25</v>
      </c>
      <c r="G71" s="4" t="s">
        <v>25</v>
      </c>
      <c r="H71" s="4" t="s">
        <v>25</v>
      </c>
      <c r="I71" s="5">
        <v>44409</v>
      </c>
      <c r="J71" s="6">
        <v>0</v>
      </c>
      <c r="K71" s="6">
        <v>0</v>
      </c>
      <c r="L71" s="6">
        <v>1.6919999999999999</v>
      </c>
      <c r="M71" s="6">
        <v>1.6919999999999999</v>
      </c>
      <c r="N71" s="6">
        <v>1.6919999999999999</v>
      </c>
      <c r="O71" s="6">
        <v>1.6919999999999999</v>
      </c>
      <c r="P71" s="6">
        <v>13</v>
      </c>
      <c r="Q71" s="4" t="s">
        <v>26</v>
      </c>
      <c r="R71" s="4">
        <v>0</v>
      </c>
      <c r="S71" s="4">
        <v>0</v>
      </c>
      <c r="T71" s="4">
        <v>41</v>
      </c>
      <c r="U71" s="4">
        <v>28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700.03</v>
      </c>
      <c r="X71" s="6">
        <f>IF(ISERROR(VLOOKUP($U$71,'TAR FIN'!$A$1:$O$85,15,0)),0,VLOOKUP($U$71,'TAR FIN'!$A$1:$O$85,15,0))</f>
        <v>201.73</v>
      </c>
      <c r="Y71" s="6"/>
      <c r="Z71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1" s="6">
        <f>('TE BE'!$AA$14+'TE BF'!$AA$14+'TE CVA'!$AA$14)*(1-CUSTOS!$M$37)</f>
        <v>225.7947898398177</v>
      </c>
      <c r="AB71" s="6">
        <f t="shared" si="8"/>
        <v>0</v>
      </c>
      <c r="AC71" s="6">
        <f>(L71-M71)*(W71+X71)+($W$67+$X$67-$W$71-$X$71)*(L71)</f>
        <v>4.8089532356243579E-14</v>
      </c>
      <c r="AD71" s="6">
        <f t="shared" si="9"/>
        <v>0</v>
      </c>
      <c r="AE71" s="6">
        <f ca="1">(L71-M71)*(Z71+AA71)+($Z$67+$AA$67-$Z$71-$AA$71)*(L71)</f>
        <v>-4.8089532356243579E-14</v>
      </c>
      <c r="AF71" s="4" t="s">
        <v>545</v>
      </c>
    </row>
    <row r="72" spans="1:32" ht="11.25" customHeight="1" x14ac:dyDescent="0.3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32</v>
      </c>
      <c r="F72" s="4" t="s">
        <v>25</v>
      </c>
      <c r="G72" s="4" t="s">
        <v>25</v>
      </c>
      <c r="H72" s="4" t="s">
        <v>25</v>
      </c>
      <c r="I72" s="5">
        <v>44440</v>
      </c>
      <c r="J72" s="6">
        <v>0</v>
      </c>
      <c r="K72" s="6">
        <v>0</v>
      </c>
      <c r="L72" s="6">
        <v>1.6379999999999999</v>
      </c>
      <c r="M72" s="6">
        <v>1.6379999999999999</v>
      </c>
      <c r="N72" s="6">
        <v>1.6379999999999999</v>
      </c>
      <c r="O72" s="6">
        <v>1.6379999999999999</v>
      </c>
      <c r="P72" s="6">
        <v>20</v>
      </c>
      <c r="Q72" s="4" t="s">
        <v>26</v>
      </c>
      <c r="R72" s="4">
        <v>0</v>
      </c>
      <c r="S72" s="4">
        <v>0</v>
      </c>
      <c r="T72" s="4">
        <v>41</v>
      </c>
      <c r="U72" s="4">
        <v>28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700.03</v>
      </c>
      <c r="X72" s="6">
        <f>IF(ISERROR(VLOOKUP($U$72,'TAR FIN'!$A$1:$O$85,15,0)),0,VLOOKUP($U$72,'TAR FIN'!$A$1:$O$85,15,0))</f>
        <v>201.73</v>
      </c>
      <c r="Y72" s="6"/>
      <c r="Z72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2" s="6">
        <f>('TE BE'!$AA$14+'TE BF'!$AA$14+'TE CVA'!$AA$14)*(1-CUSTOS!$M$37)</f>
        <v>225.7947898398177</v>
      </c>
      <c r="AB72" s="6">
        <f t="shared" si="8"/>
        <v>0</v>
      </c>
      <c r="AC72" s="6">
        <f>(L72-M72)*(W72+X72)+($W$67+$X$67-$W$72-$X$72)*(L72)</f>
        <v>4.6554760047001761E-14</v>
      </c>
      <c r="AD72" s="6">
        <f t="shared" si="9"/>
        <v>0</v>
      </c>
      <c r="AE72" s="6">
        <f ca="1">(L72-M72)*(Z72+AA72)+($Z$67+$AA$67-$Z$72-$AA$72)*(L72)</f>
        <v>-4.6554760047001761E-14</v>
      </c>
      <c r="AF72" s="4" t="s">
        <v>545</v>
      </c>
    </row>
    <row r="73" spans="1:32" ht="11.25" customHeight="1" x14ac:dyDescent="0.3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32</v>
      </c>
      <c r="F73" s="4" t="s">
        <v>25</v>
      </c>
      <c r="G73" s="4" t="s">
        <v>25</v>
      </c>
      <c r="H73" s="4" t="s">
        <v>25</v>
      </c>
      <c r="I73" s="5">
        <v>44470</v>
      </c>
      <c r="J73" s="6">
        <v>0</v>
      </c>
      <c r="K73" s="6">
        <v>0</v>
      </c>
      <c r="L73" s="6">
        <v>1.7350000000000001</v>
      </c>
      <c r="M73" s="6">
        <v>1.7350000000000001</v>
      </c>
      <c r="N73" s="6">
        <v>1.7350000000000001</v>
      </c>
      <c r="O73" s="6">
        <v>1.7350000000000001</v>
      </c>
      <c r="P73" s="6">
        <v>16</v>
      </c>
      <c r="Q73" s="4" t="s">
        <v>26</v>
      </c>
      <c r="R73" s="4">
        <v>0</v>
      </c>
      <c r="S73" s="4">
        <v>0</v>
      </c>
      <c r="T73" s="4">
        <v>41</v>
      </c>
      <c r="U73" s="4">
        <v>28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700.03</v>
      </c>
      <c r="X73" s="6">
        <f>IF(ISERROR(VLOOKUP($U$73,'TAR FIN'!$A$1:$O$85,15,0)),0,VLOOKUP($U$73,'TAR FIN'!$A$1:$O$85,15,0))</f>
        <v>201.73</v>
      </c>
      <c r="Y73" s="6"/>
      <c r="Z73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3" s="6">
        <f>('TE BE'!$AA$14+'TE BF'!$AA$14+'TE CVA'!$AA$14)*(1-CUSTOS!$M$37)</f>
        <v>225.7947898398177</v>
      </c>
      <c r="AB73" s="6">
        <f t="shared" si="8"/>
        <v>0</v>
      </c>
      <c r="AC73" s="6">
        <f>(L73-M73)*(W73+X73)+($W$67+$X$67-$W$73-$X$73)*(L73)</f>
        <v>4.9311665861750956E-14</v>
      </c>
      <c r="AD73" s="6">
        <f t="shared" si="9"/>
        <v>0</v>
      </c>
      <c r="AE73" s="6">
        <f ca="1">(L73-M73)*(Z73+AA73)+($Z$67+$AA$67-$Z$73-$AA$73)*(L73)</f>
        <v>-4.9311665861750956E-14</v>
      </c>
      <c r="AF73" s="4" t="s">
        <v>545</v>
      </c>
    </row>
    <row r="74" spans="1:32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32</v>
      </c>
      <c r="F74" s="4" t="s">
        <v>25</v>
      </c>
      <c r="G74" s="4" t="s">
        <v>25</v>
      </c>
      <c r="H74" s="4" t="s">
        <v>25</v>
      </c>
      <c r="I74" s="5">
        <v>44501</v>
      </c>
      <c r="J74" s="6">
        <v>0</v>
      </c>
      <c r="K74" s="6">
        <v>0</v>
      </c>
      <c r="L74" s="6">
        <v>1.452</v>
      </c>
      <c r="M74" s="6">
        <v>1.452</v>
      </c>
      <c r="N74" s="6">
        <v>1.452</v>
      </c>
      <c r="O74" s="6">
        <v>1.452</v>
      </c>
      <c r="P74" s="6">
        <v>17</v>
      </c>
      <c r="Q74" s="4" t="s">
        <v>26</v>
      </c>
      <c r="R74" s="4">
        <v>0</v>
      </c>
      <c r="S74" s="4">
        <v>0</v>
      </c>
      <c r="T74" s="4">
        <v>41</v>
      </c>
      <c r="U74" s="4">
        <v>28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700.03</v>
      </c>
      <c r="X74" s="6">
        <f>IF(ISERROR(VLOOKUP($U$74,'TAR FIN'!$A$1:$O$85,15,0)),0,VLOOKUP($U$74,'TAR FIN'!$A$1:$O$85,15,0))</f>
        <v>201.73</v>
      </c>
      <c r="Y74" s="6"/>
      <c r="Z74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4" s="6">
        <f>('TE BE'!$AA$14+'TE BF'!$AA$14+'TE CVA'!$AA$14)*(1-CUSTOS!$M$37)</f>
        <v>225.7947898398177</v>
      </c>
      <c r="AB74" s="6">
        <f t="shared" si="8"/>
        <v>0</v>
      </c>
      <c r="AC74" s="6">
        <f>(L74-M74)*(W74+X74)+($W$67+$X$67-$W$74-$X$74)*(L74)</f>
        <v>4.1268322092946618E-14</v>
      </c>
      <c r="AD74" s="6">
        <f t="shared" si="9"/>
        <v>0</v>
      </c>
      <c r="AE74" s="6">
        <f ca="1">(L74-M74)*(Z74+AA74)+($Z$67+$AA$67-$Z$74-$AA$74)*(L74)</f>
        <v>-4.1268322092946618E-14</v>
      </c>
      <c r="AF74" s="4" t="s">
        <v>545</v>
      </c>
    </row>
    <row r="75" spans="1:32" ht="11.25" customHeight="1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32</v>
      </c>
      <c r="F75" s="4" t="s">
        <v>25</v>
      </c>
      <c r="G75" s="4" t="s">
        <v>25</v>
      </c>
      <c r="H75" s="4" t="s">
        <v>25</v>
      </c>
      <c r="I75" s="5">
        <v>44531</v>
      </c>
      <c r="J75" s="6">
        <v>0</v>
      </c>
      <c r="K75" s="6">
        <v>0</v>
      </c>
      <c r="L75" s="6">
        <v>1.7949999999999999</v>
      </c>
      <c r="M75" s="6">
        <v>1.7949999999999999</v>
      </c>
      <c r="N75" s="6">
        <v>1.7949999999999999</v>
      </c>
      <c r="O75" s="6">
        <v>1.7949999999999999</v>
      </c>
      <c r="P75" s="6">
        <v>19</v>
      </c>
      <c r="Q75" s="4" t="s">
        <v>26</v>
      </c>
      <c r="R75" s="4">
        <v>0</v>
      </c>
      <c r="S75" s="4">
        <v>0</v>
      </c>
      <c r="T75" s="4">
        <v>41</v>
      </c>
      <c r="U75" s="4">
        <v>28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700.03</v>
      </c>
      <c r="X75" s="6">
        <f>IF(ISERROR(VLOOKUP($U$75,'TAR FIN'!$A$1:$O$85,15,0)),0,VLOOKUP($U$75,'TAR FIN'!$A$1:$O$85,15,0))</f>
        <v>201.73</v>
      </c>
      <c r="Y75" s="6"/>
      <c r="Z75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5" s="6">
        <f>('TE BE'!$AA$14+'TE BF'!$AA$14+'TE CVA'!$AA$14)*(1-CUSTOS!$M$37)</f>
        <v>225.7947898398177</v>
      </c>
      <c r="AB75" s="6">
        <f t="shared" si="8"/>
        <v>0</v>
      </c>
      <c r="AC75" s="6">
        <f>(L75-M75)*(W75+X75)+($W$67+$X$67-$W$75-$X$75)*(L75)</f>
        <v>5.1016968427575191E-14</v>
      </c>
      <c r="AD75" s="6">
        <f t="shared" si="9"/>
        <v>0</v>
      </c>
      <c r="AE75" s="6">
        <f ca="1">(L75-M75)*(Z75+AA75)+($Z$67+$AA$67-$Z$75-$AA$75)*(L75)</f>
        <v>-5.1016968427575191E-14</v>
      </c>
      <c r="AF75" s="4" t="s">
        <v>545</v>
      </c>
    </row>
    <row r="76" spans="1:32" ht="11.25" customHeight="1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32</v>
      </c>
      <c r="F76" s="4" t="s">
        <v>25</v>
      </c>
      <c r="G76" s="4" t="s">
        <v>25</v>
      </c>
      <c r="H76" s="4" t="s">
        <v>25</v>
      </c>
      <c r="I76" s="5">
        <v>44562</v>
      </c>
      <c r="J76" s="6">
        <v>0</v>
      </c>
      <c r="K76" s="6">
        <v>0</v>
      </c>
      <c r="L76" s="6">
        <v>2.1150000000000002</v>
      </c>
      <c r="M76" s="6">
        <v>2.1150000000000002</v>
      </c>
      <c r="N76" s="6">
        <v>2.1150000000000002</v>
      </c>
      <c r="O76" s="6">
        <v>2.1150000000000002</v>
      </c>
      <c r="P76" s="6">
        <v>18</v>
      </c>
      <c r="Q76" s="4" t="s">
        <v>26</v>
      </c>
      <c r="R76" s="4">
        <v>0</v>
      </c>
      <c r="S76" s="4">
        <v>0</v>
      </c>
      <c r="T76" s="4">
        <v>41</v>
      </c>
      <c r="U76" s="4">
        <v>28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700.03</v>
      </c>
      <c r="X76" s="6">
        <f>IF(ISERROR(VLOOKUP($U$76,'TAR FIN'!$A$1:$O$85,15,0)),0,VLOOKUP($U$76,'TAR FIN'!$A$1:$O$85,15,0))</f>
        <v>201.73</v>
      </c>
      <c r="Y76" s="6"/>
      <c r="Z76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6" s="6">
        <f>('TE BE'!$AA$14+'TE BF'!$AA$14+'TE CVA'!$AA$14)*(1-CUSTOS!$M$37)</f>
        <v>225.7947898398177</v>
      </c>
      <c r="AB76" s="6">
        <f t="shared" si="8"/>
        <v>0</v>
      </c>
      <c r="AC76" s="6">
        <f>(L76-M76)*(W76+X76)+($W$67+$X$67-$W$76-$X$76)*(L76)</f>
        <v>6.0111915445304482E-14</v>
      </c>
      <c r="AD76" s="6">
        <f t="shared" si="9"/>
        <v>0</v>
      </c>
      <c r="AE76" s="6">
        <f ca="1">(L76-M76)*(Z76+AA76)+($Z$67+$AA$67-$Z$76-$AA$76)*(L76)</f>
        <v>-6.0111915445304482E-14</v>
      </c>
      <c r="AF76" s="4" t="s">
        <v>545</v>
      </c>
    </row>
    <row r="77" spans="1:32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32</v>
      </c>
      <c r="F77" s="4" t="s">
        <v>25</v>
      </c>
      <c r="G77" s="4" t="s">
        <v>25</v>
      </c>
      <c r="H77" s="4" t="s">
        <v>25</v>
      </c>
      <c r="I77" s="5">
        <v>44593</v>
      </c>
      <c r="J77" s="6">
        <v>0</v>
      </c>
      <c r="K77" s="6">
        <v>0</v>
      </c>
      <c r="L77" s="6">
        <v>2.5640000000000001</v>
      </c>
      <c r="M77" s="6">
        <v>2.5640000000000001</v>
      </c>
      <c r="N77" s="6">
        <v>2.5640000000000001</v>
      </c>
      <c r="O77" s="6">
        <v>2.5640000000000001</v>
      </c>
      <c r="P77" s="6">
        <v>26</v>
      </c>
      <c r="Q77" s="4" t="s">
        <v>26</v>
      </c>
      <c r="R77" s="4">
        <v>0</v>
      </c>
      <c r="S77" s="4">
        <v>0</v>
      </c>
      <c r="T77" s="4">
        <v>41</v>
      </c>
      <c r="U77" s="4">
        <v>28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700.03</v>
      </c>
      <c r="X77" s="6">
        <f>IF(ISERROR(VLOOKUP($U$77,'TAR FIN'!$A$1:$O$85,15,0)),0,VLOOKUP($U$77,'TAR FIN'!$A$1:$O$85,15,0))</f>
        <v>201.73</v>
      </c>
      <c r="Y77" s="6"/>
      <c r="Z77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7" s="6">
        <f>('TE BE'!$AA$14+'TE BF'!$AA$14+'TE CVA'!$AA$14)*(1-CUSTOS!$M$37)</f>
        <v>225.7947898398177</v>
      </c>
      <c r="AB77" s="6">
        <f t="shared" si="8"/>
        <v>0</v>
      </c>
      <c r="AC77" s="6">
        <f>(L77-M77)*(W77+X77)+($W$67+$X$67-$W$77-$X$77)*(L77)</f>
        <v>7.2873262979555877E-14</v>
      </c>
      <c r="AD77" s="6">
        <f t="shared" si="9"/>
        <v>0</v>
      </c>
      <c r="AE77" s="6">
        <f ca="1">(L77-M77)*(Z77+AA77)+($Z$67+$AA$67-$Z$77-$AA$77)*(L77)</f>
        <v>-7.2873262979555877E-14</v>
      </c>
      <c r="AF77" s="4" t="s">
        <v>545</v>
      </c>
    </row>
    <row r="78" spans="1:32" ht="11.25" customHeight="1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32</v>
      </c>
      <c r="F78" s="4" t="s">
        <v>25</v>
      </c>
      <c r="G78" s="4" t="s">
        <v>25</v>
      </c>
      <c r="H78" s="4" t="s">
        <v>25</v>
      </c>
      <c r="I78" s="5">
        <v>44621</v>
      </c>
      <c r="J78" s="6">
        <v>0</v>
      </c>
      <c r="K78" s="6">
        <v>0</v>
      </c>
      <c r="L78" s="6">
        <v>4.2779999999999996</v>
      </c>
      <c r="M78" s="6">
        <v>4.2779999999999996</v>
      </c>
      <c r="N78" s="6">
        <v>4.2779999999999996</v>
      </c>
      <c r="O78" s="6">
        <v>4.2779999999999996</v>
      </c>
      <c r="P78" s="6">
        <v>45</v>
      </c>
      <c r="Q78" s="4" t="s">
        <v>26</v>
      </c>
      <c r="R78" s="4">
        <v>0</v>
      </c>
      <c r="S78" s="4">
        <v>0</v>
      </c>
      <c r="T78" s="4">
        <v>41</v>
      </c>
      <c r="U78" s="4">
        <v>28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700.03</v>
      </c>
      <c r="X78" s="6">
        <f>IF(ISERROR(VLOOKUP($U$78,'TAR FIN'!$A$1:$O$85,15,0)),0,VLOOKUP($U$78,'TAR FIN'!$A$1:$O$85,15,0))</f>
        <v>201.73</v>
      </c>
      <c r="Y78" s="6"/>
      <c r="Z78" s="6">
        <f ca="1">('TUSD BE'!$AM$24+'TUSD BF'!$AM$24+'TUSD CVA'!$AM$24-('TUSD BE'!$P$24+'TUSD BF'!$P$24+'TUSD CVA'!$P$24)-('TUSD BE'!$Q$24+'TUSD BF'!$Q$24+'TUSD CVA'!$Q$24)-('TUSD BE'!$R$24+'TUSD BF'!$R$24+'TUSD CVA'!$R$24))*(1-CUSTOS!$M$37)</f>
        <v>905.05341731414296</v>
      </c>
      <c r="AA78" s="6">
        <f>('TE BE'!$AA$14+'TE BF'!$AA$14+'TE CVA'!$AA$14)*(1-CUSTOS!$M$37)</f>
        <v>225.7947898398177</v>
      </c>
      <c r="AB78" s="6">
        <f t="shared" si="8"/>
        <v>0</v>
      </c>
      <c r="AC78" s="6">
        <f>(L78-M78)*(W78+X78)+($W$67+$X$67-$W$78-$X$78)*(L78)</f>
        <v>1.2158807294326833E-13</v>
      </c>
      <c r="AD78" s="6">
        <f t="shared" si="9"/>
        <v>0</v>
      </c>
      <c r="AE78" s="6">
        <f ca="1">(L78-M78)*(Z78+AA78)+($Z$67+$AA$67-$Z$78-$AA$78)*(L78)</f>
        <v>-1.2158807294326833E-13</v>
      </c>
      <c r="AF78" s="4" t="s">
        <v>545</v>
      </c>
    </row>
    <row r="79" spans="1:32" ht="11.25" customHeight="1" x14ac:dyDescent="0.3">
      <c r="A79" s="4" t="s">
        <v>21</v>
      </c>
      <c r="B79" s="4" t="s">
        <v>40</v>
      </c>
      <c r="C79" s="4" t="s">
        <v>23</v>
      </c>
      <c r="D79" s="4" t="s">
        <v>41</v>
      </c>
      <c r="E79" s="4" t="s">
        <v>49</v>
      </c>
      <c r="F79" s="4" t="s">
        <v>50</v>
      </c>
      <c r="G79" s="4" t="s">
        <v>25</v>
      </c>
      <c r="H79" s="4" t="s">
        <v>25</v>
      </c>
      <c r="I79" s="5">
        <v>44287</v>
      </c>
      <c r="J79" s="6">
        <v>0</v>
      </c>
      <c r="K79" s="6">
        <v>0</v>
      </c>
      <c r="L79" s="6">
        <v>0.05</v>
      </c>
      <c r="M79" s="6">
        <v>0.05</v>
      </c>
      <c r="N79" s="6">
        <v>0.05</v>
      </c>
      <c r="O79" s="6">
        <v>0.05</v>
      </c>
      <c r="P79" s="6">
        <v>0</v>
      </c>
      <c r="Q79" s="4" t="s">
        <v>26</v>
      </c>
      <c r="R79" s="4">
        <v>0</v>
      </c>
      <c r="S79" s="4">
        <v>0</v>
      </c>
      <c r="T79" s="4">
        <v>74</v>
      </c>
      <c r="U79" s="4">
        <v>21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724.89</v>
      </c>
      <c r="X79" s="6">
        <f>IF(ISERROR(VLOOKUP($U$79,'TAR FIN'!$A$1:$O$85,15,0)),0,VLOOKUP($U$79,'TAR FIN'!$A$1:$O$85,15,0))</f>
        <v>177.53</v>
      </c>
      <c r="Y79" s="6"/>
      <c r="Z79" s="6">
        <f ca="1">('TUSD BE'!$AM$33+'TUSD BF'!$AM$33+'TUSD CVA'!$AM$33)*(1-CUSTOS!$M$38)</f>
        <v>983.68270772870949</v>
      </c>
      <c r="AA79" s="6">
        <f>('TE BE'!$AA$23+'TE BF'!$AA$23+'TE CVA'!$AA$23)*(1-CUSTOS!$M$38)</f>
        <v>212.24710244942861</v>
      </c>
      <c r="AB79" s="6">
        <f t="shared" si="8"/>
        <v>0</v>
      </c>
      <c r="AC79" s="6">
        <f>(L79-M79)*(W79+X79)+($W$26+$X$26-$W$79-$X$79)*(L79)</f>
        <v>6.1525000000000025</v>
      </c>
      <c r="AD79" s="6">
        <f t="shared" si="9"/>
        <v>0</v>
      </c>
      <c r="AE79" s="6">
        <f ca="1">(L79-M79)*(Z79+AA79)+($Z$26+$AA$26-$Z$79-$AA$79)*(L79)</f>
        <v>3.8167972665259726</v>
      </c>
      <c r="AF79" s="4" t="s">
        <v>544</v>
      </c>
    </row>
    <row r="80" spans="1:32" ht="11.25" customHeight="1" x14ac:dyDescent="0.3">
      <c r="A80" s="4" t="s">
        <v>21</v>
      </c>
      <c r="B80" s="4" t="s">
        <v>40</v>
      </c>
      <c r="C80" s="4" t="s">
        <v>23</v>
      </c>
      <c r="D80" s="4" t="s">
        <v>41</v>
      </c>
      <c r="E80" s="4" t="s">
        <v>49</v>
      </c>
      <c r="F80" s="4" t="s">
        <v>50</v>
      </c>
      <c r="G80" s="4" t="s">
        <v>25</v>
      </c>
      <c r="H80" s="4" t="s">
        <v>25</v>
      </c>
      <c r="I80" s="5">
        <v>44317</v>
      </c>
      <c r="J80" s="6">
        <v>0</v>
      </c>
      <c r="K80" s="6">
        <v>0</v>
      </c>
      <c r="L80" s="6">
        <v>0.06</v>
      </c>
      <c r="M80" s="6">
        <v>0.06</v>
      </c>
      <c r="N80" s="6">
        <v>0.06</v>
      </c>
      <c r="O80" s="6">
        <v>0.06</v>
      </c>
      <c r="P80" s="6">
        <v>0</v>
      </c>
      <c r="Q80" s="4" t="s">
        <v>26</v>
      </c>
      <c r="R80" s="4">
        <v>0</v>
      </c>
      <c r="S80" s="4">
        <v>0</v>
      </c>
      <c r="T80" s="4">
        <v>74</v>
      </c>
      <c r="U80" s="4">
        <v>21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724.89</v>
      </c>
      <c r="X80" s="6">
        <f>IF(ISERROR(VLOOKUP($U$80,'TAR FIN'!$A$1:$O$85,15,0)),0,VLOOKUP($U$80,'TAR FIN'!$A$1:$O$85,15,0))</f>
        <v>177.53</v>
      </c>
      <c r="Y80" s="6"/>
      <c r="Z80" s="6">
        <f ca="1">('TUSD BE'!$AM$33+'TUSD BF'!$AM$33+'TUSD CVA'!$AM$33)*(1-CUSTOS!$M$38)</f>
        <v>983.68270772870949</v>
      </c>
      <c r="AA80" s="6">
        <f>('TE BE'!$AA$23+'TE BF'!$AA$23+'TE CVA'!$AA$23)*(1-CUSTOS!$M$38)</f>
        <v>212.24710244942861</v>
      </c>
      <c r="AB80" s="6">
        <f t="shared" si="8"/>
        <v>0</v>
      </c>
      <c r="AC80" s="6">
        <f>(L80-M80)*(W80+X80)+($W$26+$X$26-$W$80-$X$80)*(L80)</f>
        <v>7.3830000000000018</v>
      </c>
      <c r="AD80" s="6">
        <f t="shared" si="9"/>
        <v>0</v>
      </c>
      <c r="AE80" s="6">
        <f ca="1">(L80-M80)*(Z80+AA80)+($Z$26+$AA$26-$Z$80-$AA$80)*(L80)</f>
        <v>4.5801567198311668</v>
      </c>
      <c r="AF80" s="4" t="s">
        <v>544</v>
      </c>
    </row>
    <row r="81" spans="1:32" ht="11.25" customHeight="1" x14ac:dyDescent="0.3">
      <c r="A81" s="4" t="s">
        <v>21</v>
      </c>
      <c r="B81" s="4" t="s">
        <v>40</v>
      </c>
      <c r="C81" s="4" t="s">
        <v>23</v>
      </c>
      <c r="D81" s="4" t="s">
        <v>41</v>
      </c>
      <c r="E81" s="4" t="s">
        <v>49</v>
      </c>
      <c r="F81" s="4" t="s">
        <v>50</v>
      </c>
      <c r="G81" s="4" t="s">
        <v>25</v>
      </c>
      <c r="H81" s="4" t="s">
        <v>25</v>
      </c>
      <c r="I81" s="5">
        <v>44348</v>
      </c>
      <c r="J81" s="6">
        <v>0</v>
      </c>
      <c r="K81" s="6">
        <v>0</v>
      </c>
      <c r="L81" s="6">
        <v>0.05</v>
      </c>
      <c r="M81" s="6">
        <v>0.05</v>
      </c>
      <c r="N81" s="6">
        <v>0.05</v>
      </c>
      <c r="O81" s="6">
        <v>0.05</v>
      </c>
      <c r="P81" s="6">
        <v>0</v>
      </c>
      <c r="Q81" s="4" t="s">
        <v>26</v>
      </c>
      <c r="R81" s="4">
        <v>0</v>
      </c>
      <c r="S81" s="4">
        <v>0</v>
      </c>
      <c r="T81" s="4">
        <v>74</v>
      </c>
      <c r="U81" s="4">
        <v>21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724.89</v>
      </c>
      <c r="X81" s="6">
        <f>IF(ISERROR(VLOOKUP($U$81,'TAR FIN'!$A$1:$O$85,15,0)),0,VLOOKUP($U$81,'TAR FIN'!$A$1:$O$85,15,0))</f>
        <v>177.53</v>
      </c>
      <c r="Y81" s="6"/>
      <c r="Z81" s="6">
        <f ca="1">('TUSD BE'!$AM$33+'TUSD BF'!$AM$33+'TUSD CVA'!$AM$33)*(1-CUSTOS!$M$38)</f>
        <v>983.68270772870949</v>
      </c>
      <c r="AA81" s="6">
        <f>('TE BE'!$AA$23+'TE BF'!$AA$23+'TE CVA'!$AA$23)*(1-CUSTOS!$M$38)</f>
        <v>212.24710244942861</v>
      </c>
      <c r="AB81" s="6">
        <f t="shared" si="8"/>
        <v>0</v>
      </c>
      <c r="AC81" s="6">
        <f>(L81-M81)*(W81+X81)+($W$26+$X$26-$W$81-$X$81)*(L81)</f>
        <v>6.1525000000000025</v>
      </c>
      <c r="AD81" s="6">
        <f t="shared" si="9"/>
        <v>0</v>
      </c>
      <c r="AE81" s="6">
        <f ca="1">(L81-M81)*(Z81+AA81)+($Z$26+$AA$26-$Z$81-$AA$81)*(L81)</f>
        <v>3.8167972665259726</v>
      </c>
      <c r="AF81" s="4" t="s">
        <v>544</v>
      </c>
    </row>
    <row r="82" spans="1:32" ht="11.25" customHeight="1" x14ac:dyDescent="0.3">
      <c r="A82" s="4" t="s">
        <v>21</v>
      </c>
      <c r="B82" s="4" t="s">
        <v>40</v>
      </c>
      <c r="C82" s="4" t="s">
        <v>23</v>
      </c>
      <c r="D82" s="4" t="s">
        <v>41</v>
      </c>
      <c r="E82" s="4" t="s">
        <v>49</v>
      </c>
      <c r="F82" s="4" t="s">
        <v>50</v>
      </c>
      <c r="G82" s="4" t="s">
        <v>25</v>
      </c>
      <c r="H82" s="4" t="s">
        <v>25</v>
      </c>
      <c r="I82" s="5">
        <v>44378</v>
      </c>
      <c r="J82" s="6">
        <v>0</v>
      </c>
      <c r="K82" s="6">
        <v>0</v>
      </c>
      <c r="L82" s="6">
        <v>0.05</v>
      </c>
      <c r="M82" s="6">
        <v>0.05</v>
      </c>
      <c r="N82" s="6">
        <v>0.05</v>
      </c>
      <c r="O82" s="6">
        <v>0.05</v>
      </c>
      <c r="P82" s="6">
        <v>0</v>
      </c>
      <c r="Q82" s="4" t="s">
        <v>26</v>
      </c>
      <c r="R82" s="4">
        <v>0</v>
      </c>
      <c r="S82" s="4">
        <v>0</v>
      </c>
      <c r="T82" s="4">
        <v>74</v>
      </c>
      <c r="U82" s="4">
        <v>21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724.89</v>
      </c>
      <c r="X82" s="6">
        <f>IF(ISERROR(VLOOKUP($U$82,'TAR FIN'!$A$1:$O$85,15,0)),0,VLOOKUP($U$82,'TAR FIN'!$A$1:$O$85,15,0))</f>
        <v>177.53</v>
      </c>
      <c r="Y82" s="6"/>
      <c r="Z82" s="6">
        <f ca="1">('TUSD BE'!$AM$33+'TUSD BF'!$AM$33+'TUSD CVA'!$AM$33)*(1-CUSTOS!$M$38)</f>
        <v>983.68270772870949</v>
      </c>
      <c r="AA82" s="6">
        <f>('TE BE'!$AA$23+'TE BF'!$AA$23+'TE CVA'!$AA$23)*(1-CUSTOS!$M$38)</f>
        <v>212.24710244942861</v>
      </c>
      <c r="AB82" s="6">
        <f t="shared" si="8"/>
        <v>0</v>
      </c>
      <c r="AC82" s="6">
        <f>(L82-M82)*(W82+X82)+($W$26+$X$26-$W$82-$X$82)*(L82)</f>
        <v>6.1525000000000025</v>
      </c>
      <c r="AD82" s="6">
        <f t="shared" si="9"/>
        <v>0</v>
      </c>
      <c r="AE82" s="6">
        <f ca="1">(L82-M82)*(Z82+AA82)+($Z$26+$AA$26-$Z$82-$AA$82)*(L82)</f>
        <v>3.8167972665259726</v>
      </c>
      <c r="AF82" s="4" t="s">
        <v>544</v>
      </c>
    </row>
    <row r="83" spans="1:32" ht="11.25" customHeight="1" x14ac:dyDescent="0.3">
      <c r="A83" s="4" t="s">
        <v>21</v>
      </c>
      <c r="B83" s="4" t="s">
        <v>40</v>
      </c>
      <c r="C83" s="4" t="s">
        <v>23</v>
      </c>
      <c r="D83" s="4" t="s">
        <v>41</v>
      </c>
      <c r="E83" s="4" t="s">
        <v>49</v>
      </c>
      <c r="F83" s="4" t="s">
        <v>50</v>
      </c>
      <c r="G83" s="4" t="s">
        <v>25</v>
      </c>
      <c r="H83" s="4" t="s">
        <v>25</v>
      </c>
      <c r="I83" s="5">
        <v>44409</v>
      </c>
      <c r="J83" s="6">
        <v>0</v>
      </c>
      <c r="K83" s="6">
        <v>0</v>
      </c>
      <c r="L83" s="6">
        <v>0.17299999999999999</v>
      </c>
      <c r="M83" s="6">
        <v>0.17299999999999999</v>
      </c>
      <c r="N83" s="6">
        <v>0.17299999999999999</v>
      </c>
      <c r="O83" s="6">
        <v>0.17299999999999999</v>
      </c>
      <c r="P83" s="6">
        <v>0</v>
      </c>
      <c r="Q83" s="4" t="s">
        <v>26</v>
      </c>
      <c r="R83" s="4">
        <v>0</v>
      </c>
      <c r="S83" s="4">
        <v>0</v>
      </c>
      <c r="T83" s="4">
        <v>74</v>
      </c>
      <c r="U83" s="4">
        <v>21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724.89</v>
      </c>
      <c r="X83" s="6">
        <f>IF(ISERROR(VLOOKUP($U$83,'TAR FIN'!$A$1:$O$85,15,0)),0,VLOOKUP($U$83,'TAR FIN'!$A$1:$O$85,15,0))</f>
        <v>177.53</v>
      </c>
      <c r="Y83" s="6"/>
      <c r="Z83" s="6">
        <f ca="1">('TUSD BE'!$AM$33+'TUSD BF'!$AM$33+'TUSD CVA'!$AM$33)*(1-CUSTOS!$M$38)</f>
        <v>983.68270772870949</v>
      </c>
      <c r="AA83" s="6">
        <f>('TE BE'!$AA$23+'TE BF'!$AA$23+'TE CVA'!$AA$23)*(1-CUSTOS!$M$38)</f>
        <v>212.24710244942861</v>
      </c>
      <c r="AB83" s="6">
        <f t="shared" si="8"/>
        <v>0</v>
      </c>
      <c r="AC83" s="6">
        <f>(L83-M83)*(W83+X83)+($W$26+$X$26-$W$83-$X$83)*(L83)</f>
        <v>21.287650000000006</v>
      </c>
      <c r="AD83" s="6">
        <f t="shared" si="9"/>
        <v>0</v>
      </c>
      <c r="AE83" s="6">
        <f ca="1">(L83-M83)*(Z83+AA83)+($Z$26+$AA$26-$Z$83-$AA$83)*(L83)</f>
        <v>13.206118542179864</v>
      </c>
      <c r="AF83" s="4" t="s">
        <v>544</v>
      </c>
    </row>
    <row r="84" spans="1:32" ht="11.25" customHeight="1" x14ac:dyDescent="0.3">
      <c r="A84" s="4" t="s">
        <v>21</v>
      </c>
      <c r="B84" s="4" t="s">
        <v>40</v>
      </c>
      <c r="C84" s="4" t="s">
        <v>23</v>
      </c>
      <c r="D84" s="4" t="s">
        <v>41</v>
      </c>
      <c r="E84" s="4" t="s">
        <v>49</v>
      </c>
      <c r="F84" s="4" t="s">
        <v>50</v>
      </c>
      <c r="G84" s="4" t="s">
        <v>25</v>
      </c>
      <c r="H84" s="4" t="s">
        <v>25</v>
      </c>
      <c r="I84" s="5">
        <v>44440</v>
      </c>
      <c r="J84" s="6">
        <v>0</v>
      </c>
      <c r="K84" s="6">
        <v>0</v>
      </c>
      <c r="L84" s="6">
        <v>0.127</v>
      </c>
      <c r="M84" s="6">
        <v>0.127</v>
      </c>
      <c r="N84" s="6">
        <v>0.127</v>
      </c>
      <c r="O84" s="6">
        <v>0.127</v>
      </c>
      <c r="P84" s="6">
        <v>0</v>
      </c>
      <c r="Q84" s="4" t="s">
        <v>26</v>
      </c>
      <c r="R84" s="4">
        <v>0</v>
      </c>
      <c r="S84" s="4">
        <v>0</v>
      </c>
      <c r="T84" s="4">
        <v>74</v>
      </c>
      <c r="U84" s="4">
        <v>21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724.89</v>
      </c>
      <c r="X84" s="6">
        <f>IF(ISERROR(VLOOKUP($U$84,'TAR FIN'!$A$1:$O$85,15,0)),0,VLOOKUP($U$84,'TAR FIN'!$A$1:$O$85,15,0))</f>
        <v>177.53</v>
      </c>
      <c r="Y84" s="6"/>
      <c r="Z84" s="6">
        <f ca="1">('TUSD BE'!$AM$33+'TUSD BF'!$AM$33+'TUSD CVA'!$AM$33)*(1-CUSTOS!$M$38)</f>
        <v>983.68270772870949</v>
      </c>
      <c r="AA84" s="6">
        <f>('TE BE'!$AA$23+'TE BF'!$AA$23+'TE CVA'!$AA$23)*(1-CUSTOS!$M$38)</f>
        <v>212.24710244942861</v>
      </c>
      <c r="AB84" s="6">
        <f t="shared" si="8"/>
        <v>0</v>
      </c>
      <c r="AC84" s="6">
        <f>(L84-M84)*(W84+X84)+($W$26+$X$26-$W$84-$X$84)*(L84)</f>
        <v>15.627350000000005</v>
      </c>
      <c r="AD84" s="6">
        <f t="shared" si="9"/>
        <v>0</v>
      </c>
      <c r="AE84" s="6">
        <f ca="1">(L84-M84)*(Z84+AA84)+($Z$26+$AA$26-$Z$84-$AA$84)*(L84)</f>
        <v>9.6946650569759711</v>
      </c>
      <c r="AF84" s="4" t="s">
        <v>544</v>
      </c>
    </row>
    <row r="85" spans="1:32" ht="11.25" customHeight="1" x14ac:dyDescent="0.3">
      <c r="A85" s="4" t="s">
        <v>21</v>
      </c>
      <c r="B85" s="4" t="s">
        <v>40</v>
      </c>
      <c r="C85" s="4" t="s">
        <v>23</v>
      </c>
      <c r="D85" s="4" t="s">
        <v>41</v>
      </c>
      <c r="E85" s="4" t="s">
        <v>49</v>
      </c>
      <c r="F85" s="4" t="s">
        <v>50</v>
      </c>
      <c r="G85" s="4" t="s">
        <v>25</v>
      </c>
      <c r="H85" s="4" t="s">
        <v>25</v>
      </c>
      <c r="I85" s="5">
        <v>44470</v>
      </c>
      <c r="J85" s="6">
        <v>0</v>
      </c>
      <c r="K85" s="6">
        <v>0</v>
      </c>
      <c r="L85" s="6">
        <v>0.05</v>
      </c>
      <c r="M85" s="6">
        <v>0.05</v>
      </c>
      <c r="N85" s="6">
        <v>0.05</v>
      </c>
      <c r="O85" s="6">
        <v>0.05</v>
      </c>
      <c r="P85" s="6">
        <v>0</v>
      </c>
      <c r="Q85" s="4" t="s">
        <v>26</v>
      </c>
      <c r="R85" s="4">
        <v>0</v>
      </c>
      <c r="S85" s="4">
        <v>0</v>
      </c>
      <c r="T85" s="4">
        <v>74</v>
      </c>
      <c r="U85" s="4">
        <v>21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724.89</v>
      </c>
      <c r="X85" s="6">
        <f>IF(ISERROR(VLOOKUP($U$85,'TAR FIN'!$A$1:$O$85,15,0)),0,VLOOKUP($U$85,'TAR FIN'!$A$1:$O$85,15,0))</f>
        <v>177.53</v>
      </c>
      <c r="Y85" s="6"/>
      <c r="Z85" s="6">
        <f ca="1">('TUSD BE'!$AM$33+'TUSD BF'!$AM$33+'TUSD CVA'!$AM$33)*(1-CUSTOS!$M$38)</f>
        <v>983.68270772870949</v>
      </c>
      <c r="AA85" s="6">
        <f>('TE BE'!$AA$23+'TE BF'!$AA$23+'TE CVA'!$AA$23)*(1-CUSTOS!$M$38)</f>
        <v>212.24710244942861</v>
      </c>
      <c r="AB85" s="6">
        <f t="shared" si="8"/>
        <v>0</v>
      </c>
      <c r="AC85" s="6">
        <f>(L85-M85)*(W85+X85)+($W$26+$X$26-$W$85-$X$85)*(L85)</f>
        <v>6.1525000000000025</v>
      </c>
      <c r="AD85" s="6">
        <f t="shared" si="9"/>
        <v>0</v>
      </c>
      <c r="AE85" s="6">
        <f ca="1">(L85-M85)*(Z85+AA85)+($Z$26+$AA$26-$Z$85-$AA$85)*(L85)</f>
        <v>3.8167972665259726</v>
      </c>
      <c r="AF85" s="4" t="s">
        <v>544</v>
      </c>
    </row>
    <row r="86" spans="1:32" ht="11.25" customHeight="1" x14ac:dyDescent="0.3">
      <c r="A86" s="4" t="s">
        <v>21</v>
      </c>
      <c r="B86" s="4" t="s">
        <v>40</v>
      </c>
      <c r="C86" s="4" t="s">
        <v>23</v>
      </c>
      <c r="D86" s="4" t="s">
        <v>41</v>
      </c>
      <c r="E86" s="4" t="s">
        <v>49</v>
      </c>
      <c r="F86" s="4" t="s">
        <v>50</v>
      </c>
      <c r="G86" s="4" t="s">
        <v>25</v>
      </c>
      <c r="H86" s="4" t="s">
        <v>25</v>
      </c>
      <c r="I86" s="5">
        <v>44501</v>
      </c>
      <c r="J86" s="6">
        <v>0</v>
      </c>
      <c r="K86" s="6">
        <v>0</v>
      </c>
      <c r="L86" s="6">
        <v>0.05</v>
      </c>
      <c r="M86" s="6">
        <v>0.05</v>
      </c>
      <c r="N86" s="6">
        <v>0.05</v>
      </c>
      <c r="O86" s="6">
        <v>0.05</v>
      </c>
      <c r="P86" s="6">
        <v>0</v>
      </c>
      <c r="Q86" s="4" t="s">
        <v>26</v>
      </c>
      <c r="R86" s="4">
        <v>0</v>
      </c>
      <c r="S86" s="4">
        <v>0</v>
      </c>
      <c r="T86" s="4">
        <v>74</v>
      </c>
      <c r="U86" s="4">
        <v>21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724.89</v>
      </c>
      <c r="X86" s="6">
        <f>IF(ISERROR(VLOOKUP($U$86,'TAR FIN'!$A$1:$O$85,15,0)),0,VLOOKUP($U$86,'TAR FIN'!$A$1:$O$85,15,0))</f>
        <v>177.53</v>
      </c>
      <c r="Y86" s="6"/>
      <c r="Z86" s="6">
        <f ca="1">('TUSD BE'!$AM$33+'TUSD BF'!$AM$33+'TUSD CVA'!$AM$33)*(1-CUSTOS!$M$38)</f>
        <v>983.68270772870949</v>
      </c>
      <c r="AA86" s="6">
        <f>('TE BE'!$AA$23+'TE BF'!$AA$23+'TE CVA'!$AA$23)*(1-CUSTOS!$M$38)</f>
        <v>212.24710244942861</v>
      </c>
      <c r="AB86" s="6">
        <f t="shared" si="8"/>
        <v>0</v>
      </c>
      <c r="AC86" s="6">
        <f>(L86-M86)*(W86+X86)+($W$26+$X$26-$W$86-$X$86)*(L86)</f>
        <v>6.1525000000000025</v>
      </c>
      <c r="AD86" s="6">
        <f t="shared" si="9"/>
        <v>0</v>
      </c>
      <c r="AE86" s="6">
        <f ca="1">(L86-M86)*(Z86+AA86)+($Z$26+$AA$26-$Z$86-$AA$86)*(L86)</f>
        <v>3.8167972665259726</v>
      </c>
      <c r="AF86" s="4" t="s">
        <v>544</v>
      </c>
    </row>
    <row r="87" spans="1:32" ht="11.25" customHeight="1" x14ac:dyDescent="0.3">
      <c r="A87" s="4" t="s">
        <v>21</v>
      </c>
      <c r="B87" s="4" t="s">
        <v>40</v>
      </c>
      <c r="C87" s="4" t="s">
        <v>23</v>
      </c>
      <c r="D87" s="4" t="s">
        <v>41</v>
      </c>
      <c r="E87" s="4" t="s">
        <v>49</v>
      </c>
      <c r="F87" s="4" t="s">
        <v>50</v>
      </c>
      <c r="G87" s="4" t="s">
        <v>25</v>
      </c>
      <c r="H87" s="4" t="s">
        <v>25</v>
      </c>
      <c r="I87" s="5">
        <v>44531</v>
      </c>
      <c r="J87" s="6">
        <v>0</v>
      </c>
      <c r="K87" s="6">
        <v>0</v>
      </c>
      <c r="L87" s="6">
        <v>0.05</v>
      </c>
      <c r="M87" s="6">
        <v>0.05</v>
      </c>
      <c r="N87" s="6">
        <v>0.05</v>
      </c>
      <c r="O87" s="6">
        <v>0.05</v>
      </c>
      <c r="P87" s="6">
        <v>0</v>
      </c>
      <c r="Q87" s="4" t="s">
        <v>26</v>
      </c>
      <c r="R87" s="4">
        <v>0</v>
      </c>
      <c r="S87" s="4">
        <v>0</v>
      </c>
      <c r="T87" s="4">
        <v>74</v>
      </c>
      <c r="U87" s="4">
        <v>21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724.89</v>
      </c>
      <c r="X87" s="6">
        <f>IF(ISERROR(VLOOKUP($U$87,'TAR FIN'!$A$1:$O$85,15,0)),0,VLOOKUP($U$87,'TAR FIN'!$A$1:$O$85,15,0))</f>
        <v>177.53</v>
      </c>
      <c r="Y87" s="6"/>
      <c r="Z87" s="6">
        <f ca="1">('TUSD BE'!$AM$33+'TUSD BF'!$AM$33+'TUSD CVA'!$AM$33)*(1-CUSTOS!$M$38)</f>
        <v>983.68270772870949</v>
      </c>
      <c r="AA87" s="6">
        <f>('TE BE'!$AA$23+'TE BF'!$AA$23+'TE CVA'!$AA$23)*(1-CUSTOS!$M$38)</f>
        <v>212.24710244942861</v>
      </c>
      <c r="AB87" s="6">
        <f t="shared" si="8"/>
        <v>0</v>
      </c>
      <c r="AC87" s="6">
        <f>(L87-M87)*(W87+X87)+($W$26+$X$26-$W$87-$X$87)*(L87)</f>
        <v>6.1525000000000025</v>
      </c>
      <c r="AD87" s="6">
        <f t="shared" si="9"/>
        <v>0</v>
      </c>
      <c r="AE87" s="6">
        <f ca="1">(L87-M87)*(Z87+AA87)+($Z$26+$AA$26-$Z$87-$AA$87)*(L87)</f>
        <v>3.8167972665259726</v>
      </c>
      <c r="AF87" s="4" t="s">
        <v>544</v>
      </c>
    </row>
    <row r="88" spans="1:32" ht="11.25" customHeight="1" x14ac:dyDescent="0.3">
      <c r="A88" s="4" t="s">
        <v>21</v>
      </c>
      <c r="B88" s="4" t="s">
        <v>40</v>
      </c>
      <c r="C88" s="4" t="s">
        <v>23</v>
      </c>
      <c r="D88" s="4" t="s">
        <v>41</v>
      </c>
      <c r="E88" s="4" t="s">
        <v>49</v>
      </c>
      <c r="F88" s="4" t="s">
        <v>50</v>
      </c>
      <c r="G88" s="4" t="s">
        <v>25</v>
      </c>
      <c r="H88" s="4" t="s">
        <v>25</v>
      </c>
      <c r="I88" s="5">
        <v>44562</v>
      </c>
      <c r="J88" s="6">
        <v>0</v>
      </c>
      <c r="K88" s="6">
        <v>0</v>
      </c>
      <c r="L88" s="6">
        <v>0.05</v>
      </c>
      <c r="M88" s="6">
        <v>0.05</v>
      </c>
      <c r="N88" s="6">
        <v>0.05</v>
      </c>
      <c r="O88" s="6">
        <v>0.05</v>
      </c>
      <c r="P88" s="6">
        <v>0</v>
      </c>
      <c r="Q88" s="4" t="s">
        <v>26</v>
      </c>
      <c r="R88" s="4">
        <v>0</v>
      </c>
      <c r="S88" s="4">
        <v>0</v>
      </c>
      <c r="T88" s="4">
        <v>74</v>
      </c>
      <c r="U88" s="4">
        <v>21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724.89</v>
      </c>
      <c r="X88" s="6">
        <f>IF(ISERROR(VLOOKUP($U$88,'TAR FIN'!$A$1:$O$85,15,0)),0,VLOOKUP($U$88,'TAR FIN'!$A$1:$O$85,15,0))</f>
        <v>177.53</v>
      </c>
      <c r="Y88" s="6"/>
      <c r="Z88" s="6">
        <f ca="1">('TUSD BE'!$AM$33+'TUSD BF'!$AM$33+'TUSD CVA'!$AM$33)*(1-CUSTOS!$M$38)</f>
        <v>983.68270772870949</v>
      </c>
      <c r="AA88" s="6">
        <f>('TE BE'!$AA$23+'TE BF'!$AA$23+'TE CVA'!$AA$23)*(1-CUSTOS!$M$38)</f>
        <v>212.24710244942861</v>
      </c>
      <c r="AB88" s="6">
        <f t="shared" si="8"/>
        <v>0</v>
      </c>
      <c r="AC88" s="6">
        <f>(L88-M88)*(W88+X88)+($W$26+$X$26-$W$88-$X$88)*(L88)</f>
        <v>6.1525000000000025</v>
      </c>
      <c r="AD88" s="6">
        <f t="shared" si="9"/>
        <v>0</v>
      </c>
      <c r="AE88" s="6">
        <f ca="1">(L88-M88)*(Z88+AA88)+($Z$26+$AA$26-$Z$88-$AA$88)*(L88)</f>
        <v>3.8167972665259726</v>
      </c>
      <c r="AF88" s="4" t="s">
        <v>544</v>
      </c>
    </row>
    <row r="89" spans="1:32" ht="11.25" customHeight="1" x14ac:dyDescent="0.3">
      <c r="A89" s="4" t="s">
        <v>21</v>
      </c>
      <c r="B89" s="4" t="s">
        <v>40</v>
      </c>
      <c r="C89" s="4" t="s">
        <v>23</v>
      </c>
      <c r="D89" s="4" t="s">
        <v>41</v>
      </c>
      <c r="E89" s="4" t="s">
        <v>49</v>
      </c>
      <c r="F89" s="4" t="s">
        <v>50</v>
      </c>
      <c r="G89" s="4" t="s">
        <v>25</v>
      </c>
      <c r="H89" s="4" t="s">
        <v>25</v>
      </c>
      <c r="I89" s="5">
        <v>44593</v>
      </c>
      <c r="J89" s="6">
        <v>0</v>
      </c>
      <c r="K89" s="6">
        <v>0</v>
      </c>
      <c r="L89" s="6">
        <v>0.05</v>
      </c>
      <c r="M89" s="6">
        <v>0.05</v>
      </c>
      <c r="N89" s="6">
        <v>0.05</v>
      </c>
      <c r="O89" s="6">
        <v>0.05</v>
      </c>
      <c r="P89" s="6">
        <v>0</v>
      </c>
      <c r="Q89" s="4" t="s">
        <v>26</v>
      </c>
      <c r="R89" s="4">
        <v>0</v>
      </c>
      <c r="S89" s="4">
        <v>0</v>
      </c>
      <c r="T89" s="4">
        <v>74</v>
      </c>
      <c r="U89" s="4">
        <v>21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724.89</v>
      </c>
      <c r="X89" s="6">
        <f>IF(ISERROR(VLOOKUP($U$89,'TAR FIN'!$A$1:$O$85,15,0)),0,VLOOKUP($U$89,'TAR FIN'!$A$1:$O$85,15,0))</f>
        <v>177.53</v>
      </c>
      <c r="Y89" s="6"/>
      <c r="Z89" s="6">
        <f ca="1">('TUSD BE'!$AM$33+'TUSD BF'!$AM$33+'TUSD CVA'!$AM$33)*(1-CUSTOS!$M$38)</f>
        <v>983.68270772870949</v>
      </c>
      <c r="AA89" s="6">
        <f>('TE BE'!$AA$23+'TE BF'!$AA$23+'TE CVA'!$AA$23)*(1-CUSTOS!$M$38)</f>
        <v>212.24710244942861</v>
      </c>
      <c r="AB89" s="6">
        <f t="shared" si="8"/>
        <v>0</v>
      </c>
      <c r="AC89" s="6">
        <f>(L89-M89)*(W89+X89)+($W$26+$X$26-$W$89-$X$89)*(L89)</f>
        <v>6.1525000000000025</v>
      </c>
      <c r="AD89" s="6">
        <f t="shared" si="9"/>
        <v>0</v>
      </c>
      <c r="AE89" s="6">
        <f ca="1">(L89-M89)*(Z89+AA89)+($Z$26+$AA$26-$Z$89-$AA$89)*(L89)</f>
        <v>3.8167972665259726</v>
      </c>
      <c r="AF89" s="4" t="s">
        <v>544</v>
      </c>
    </row>
    <row r="90" spans="1:32" ht="11.25" customHeight="1" x14ac:dyDescent="0.3">
      <c r="A90" s="4" t="s">
        <v>21</v>
      </c>
      <c r="B90" s="4" t="s">
        <v>40</v>
      </c>
      <c r="C90" s="4" t="s">
        <v>23</v>
      </c>
      <c r="D90" s="4" t="s">
        <v>41</v>
      </c>
      <c r="E90" s="4" t="s">
        <v>49</v>
      </c>
      <c r="F90" s="4" t="s">
        <v>50</v>
      </c>
      <c r="G90" s="4" t="s">
        <v>25</v>
      </c>
      <c r="H90" s="4" t="s">
        <v>25</v>
      </c>
      <c r="I90" s="5">
        <v>44621</v>
      </c>
      <c r="J90" s="6">
        <v>0</v>
      </c>
      <c r="K90" s="6">
        <v>0</v>
      </c>
      <c r="L90" s="6">
        <v>0.05</v>
      </c>
      <c r="M90" s="6">
        <v>0.05</v>
      </c>
      <c r="N90" s="6">
        <v>0.05</v>
      </c>
      <c r="O90" s="6">
        <v>0.05</v>
      </c>
      <c r="P90" s="6">
        <v>0</v>
      </c>
      <c r="Q90" s="4" t="s">
        <v>26</v>
      </c>
      <c r="R90" s="4">
        <v>0</v>
      </c>
      <c r="S90" s="4">
        <v>0</v>
      </c>
      <c r="T90" s="4">
        <v>74</v>
      </c>
      <c r="U90" s="4">
        <v>21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724.89</v>
      </c>
      <c r="X90" s="6">
        <f>IF(ISERROR(VLOOKUP($U$90,'TAR FIN'!$A$1:$O$85,15,0)),0,VLOOKUP($U$90,'TAR FIN'!$A$1:$O$85,15,0))</f>
        <v>177.53</v>
      </c>
      <c r="Y90" s="6"/>
      <c r="Z90" s="6">
        <f ca="1">('TUSD BE'!$AM$33+'TUSD BF'!$AM$33+'TUSD CVA'!$AM$33)*(1-CUSTOS!$M$38)</f>
        <v>983.68270772870949</v>
      </c>
      <c r="AA90" s="6">
        <f>('TE BE'!$AA$23+'TE BF'!$AA$23+'TE CVA'!$AA$23)*(1-CUSTOS!$M$38)</f>
        <v>212.24710244942861</v>
      </c>
      <c r="AB90" s="6">
        <f t="shared" si="8"/>
        <v>0</v>
      </c>
      <c r="AC90" s="6">
        <f>(L90-M90)*(W90+X90)+($W$26+$X$26-$W$90-$X$90)*(L90)</f>
        <v>6.1525000000000025</v>
      </c>
      <c r="AD90" s="6">
        <f t="shared" si="9"/>
        <v>0</v>
      </c>
      <c r="AE90" s="6">
        <f ca="1">(L90-M90)*(Z90+AA90)+($Z$26+$AA$26-$Z$90-$AA$90)*(L90)</f>
        <v>3.8167972665259726</v>
      </c>
      <c r="AF90" s="4" t="s">
        <v>544</v>
      </c>
    </row>
    <row r="91" spans="1:32" ht="11.25" customHeight="1" x14ac:dyDescent="0.3">
      <c r="A91" s="4" t="s">
        <v>21</v>
      </c>
      <c r="B91" s="4" t="s">
        <v>40</v>
      </c>
      <c r="C91" s="4" t="s">
        <v>23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44287</v>
      </c>
      <c r="J91" s="6">
        <v>0</v>
      </c>
      <c r="K91" s="6">
        <v>0</v>
      </c>
      <c r="L91" s="6">
        <v>127.32299999999999</v>
      </c>
      <c r="M91" s="6">
        <v>127.32299999999999</v>
      </c>
      <c r="N91" s="6">
        <v>127.32299999999999</v>
      </c>
      <c r="O91" s="6">
        <v>127.32299999999999</v>
      </c>
      <c r="P91" s="6">
        <v>263</v>
      </c>
      <c r="Q91" s="4" t="s">
        <v>26</v>
      </c>
      <c r="R91" s="4">
        <v>0</v>
      </c>
      <c r="S91" s="4">
        <v>0</v>
      </c>
      <c r="T91" s="4">
        <v>74</v>
      </c>
      <c r="U91" s="4">
        <v>21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724.89</v>
      </c>
      <c r="X91" s="6">
        <f>IF(ISERROR(VLOOKUP($U$91,'TAR FIN'!$A$1:$O$85,15,0)),0,VLOOKUP($U$91,'TAR FIN'!$A$1:$O$85,15,0))</f>
        <v>177.53</v>
      </c>
      <c r="Y91" s="6"/>
      <c r="Z91" s="6">
        <f ca="1">('TUSD BE'!$AM$33+'TUSD BF'!$AM$33+'TUSD CVA'!$AM$33)*(1-CUSTOS!$M$38)</f>
        <v>983.68270772870949</v>
      </c>
      <c r="AA91" s="6">
        <f>('TE BE'!$AA$23+'TE BF'!$AA$23+'TE CVA'!$AA$23)*(1-CUSTOS!$M$38)</f>
        <v>212.24710244942861</v>
      </c>
      <c r="AB91" s="6">
        <f t="shared" si="8"/>
        <v>0</v>
      </c>
      <c r="AC91" s="6">
        <f>(L91-M91)*(W91+X91)+($W$26+$X$26-$W$91-$X$91)*(L91)</f>
        <v>15667.095150000005</v>
      </c>
      <c r="AD91" s="6">
        <f t="shared" si="9"/>
        <v>0</v>
      </c>
      <c r="AE91" s="6">
        <f ca="1">(L91-M91)*(Z91+AA91)+($Z$26+$AA$26-$Z$91-$AA$91)*(L91)</f>
        <v>9719.3215673177274</v>
      </c>
      <c r="AF91" s="4" t="s">
        <v>544</v>
      </c>
    </row>
    <row r="92" spans="1:32" ht="11.25" customHeight="1" x14ac:dyDescent="0.3">
      <c r="A92" s="4" t="s">
        <v>27</v>
      </c>
      <c r="B92" s="4" t="s">
        <v>40</v>
      </c>
      <c r="C92" s="4" t="s">
        <v>23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44287</v>
      </c>
      <c r="J92" s="6">
        <v>0</v>
      </c>
      <c r="K92" s="6">
        <v>0</v>
      </c>
      <c r="L92" s="6">
        <v>-0.97699999999999998</v>
      </c>
      <c r="M92" s="6">
        <v>-0.97699999999999998</v>
      </c>
      <c r="N92" s="6">
        <v>-0.97699999999999998</v>
      </c>
      <c r="O92" s="6">
        <v>-0.97699999999999998</v>
      </c>
      <c r="P92" s="6">
        <v>0</v>
      </c>
      <c r="Q92" s="4" t="s">
        <v>26</v>
      </c>
      <c r="R92" s="4">
        <v>0</v>
      </c>
      <c r="S92" s="4">
        <v>0</v>
      </c>
      <c r="T92" s="4">
        <v>74</v>
      </c>
      <c r="U92" s="4">
        <v>21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724.89</v>
      </c>
      <c r="X92" s="6">
        <f>IF(ISERROR(VLOOKUP($U$92,'TAR FIN'!$A$1:$O$85,15,0)),0,VLOOKUP($U$92,'TAR FIN'!$A$1:$O$85,15,0))</f>
        <v>177.53</v>
      </c>
      <c r="Y92" s="6"/>
      <c r="Z92" s="6">
        <f ca="1">('TUSD BE'!$AM$33+'TUSD BF'!$AM$33+'TUSD CVA'!$AM$33)*(1-CUSTOS!$M$38)</f>
        <v>983.68270772870949</v>
      </c>
      <c r="AA92" s="6">
        <f>('TE BE'!$AA$23+'TE BF'!$AA$23+'TE CVA'!$AA$23)*(1-CUSTOS!$M$38)</f>
        <v>212.24710244942861</v>
      </c>
      <c r="AB92" s="6">
        <f t="shared" si="8"/>
        <v>0</v>
      </c>
      <c r="AC92" s="6">
        <f>(L92-M92)*(W92+X92)+($W$26+$X$26-$W$92-$X$92)*(L92)</f>
        <v>-120.21985000000004</v>
      </c>
      <c r="AD92" s="6">
        <f t="shared" si="9"/>
        <v>0</v>
      </c>
      <c r="AE92" s="6">
        <f ca="1">(L92-M92)*(Z92+AA92)+($Z$26+$AA$26-$Z$92-$AA$92)*(L92)</f>
        <v>-74.5802185879175</v>
      </c>
      <c r="AF92" s="4" t="s">
        <v>544</v>
      </c>
    </row>
    <row r="93" spans="1:32" ht="11.25" customHeight="1" x14ac:dyDescent="0.3">
      <c r="A93" s="4" t="s">
        <v>21</v>
      </c>
      <c r="B93" s="4" t="s">
        <v>40</v>
      </c>
      <c r="C93" s="4" t="s">
        <v>23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44317</v>
      </c>
      <c r="J93" s="6">
        <v>0</v>
      </c>
      <c r="K93" s="6">
        <v>0</v>
      </c>
      <c r="L93" s="6">
        <v>124.43600000000001</v>
      </c>
      <c r="M93" s="6">
        <v>124.43600000000001</v>
      </c>
      <c r="N93" s="6">
        <v>124.43600000000001</v>
      </c>
      <c r="O93" s="6">
        <v>124.43600000000001</v>
      </c>
      <c r="P93" s="6">
        <v>262</v>
      </c>
      <c r="Q93" s="4" t="s">
        <v>26</v>
      </c>
      <c r="R93" s="4">
        <v>0</v>
      </c>
      <c r="S93" s="4">
        <v>0</v>
      </c>
      <c r="T93" s="4">
        <v>74</v>
      </c>
      <c r="U93" s="4">
        <v>21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724.89</v>
      </c>
      <c r="X93" s="6">
        <f>IF(ISERROR(VLOOKUP($U$93,'TAR FIN'!$A$1:$O$85,15,0)),0,VLOOKUP($U$93,'TAR FIN'!$A$1:$O$85,15,0))</f>
        <v>177.53</v>
      </c>
      <c r="Y93" s="6"/>
      <c r="Z93" s="6">
        <f ca="1">('TUSD BE'!$AM$33+'TUSD BF'!$AM$33+'TUSD CVA'!$AM$33)*(1-CUSTOS!$M$38)</f>
        <v>983.68270772870949</v>
      </c>
      <c r="AA93" s="6">
        <f>('TE BE'!$AA$23+'TE BF'!$AA$23+'TE CVA'!$AA$23)*(1-CUSTOS!$M$38)</f>
        <v>212.24710244942861</v>
      </c>
      <c r="AB93" s="6">
        <f t="shared" si="8"/>
        <v>0</v>
      </c>
      <c r="AC93" s="6">
        <f>(L93-M93)*(W93+X93)+($W$26+$X$26-$W$93-$X$93)*(L93)</f>
        <v>15311.849800000005</v>
      </c>
      <c r="AD93" s="6">
        <f t="shared" si="9"/>
        <v>0</v>
      </c>
      <c r="AE93" s="6">
        <f ca="1">(L93-M93)*(Z93+AA93)+($Z$26+$AA$26-$Z$93-$AA$93)*(L93)</f>
        <v>9498.9396931485189</v>
      </c>
      <c r="AF93" s="4" t="s">
        <v>544</v>
      </c>
    </row>
    <row r="94" spans="1:32" ht="11.25" customHeight="1" x14ac:dyDescent="0.3">
      <c r="A94" s="4" t="s">
        <v>27</v>
      </c>
      <c r="B94" s="4" t="s">
        <v>40</v>
      </c>
      <c r="C94" s="4" t="s">
        <v>23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44317</v>
      </c>
      <c r="J94" s="6">
        <v>0</v>
      </c>
      <c r="K94" s="6">
        <v>0</v>
      </c>
      <c r="L94" s="6">
        <v>-7.9000000000000001E-2</v>
      </c>
      <c r="M94" s="6">
        <v>-7.9000000000000001E-2</v>
      </c>
      <c r="N94" s="6">
        <v>-7.9000000000000001E-2</v>
      </c>
      <c r="O94" s="6">
        <v>-7.9000000000000001E-2</v>
      </c>
      <c r="P94" s="6">
        <v>0</v>
      </c>
      <c r="Q94" s="4" t="s">
        <v>26</v>
      </c>
      <c r="R94" s="4">
        <v>0</v>
      </c>
      <c r="S94" s="4">
        <v>0</v>
      </c>
      <c r="T94" s="4">
        <v>74</v>
      </c>
      <c r="U94" s="4">
        <v>21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724.89</v>
      </c>
      <c r="X94" s="6">
        <f>IF(ISERROR(VLOOKUP($U$94,'TAR FIN'!$A$1:$O$85,15,0)),0,VLOOKUP($U$94,'TAR FIN'!$A$1:$O$85,15,0))</f>
        <v>177.53</v>
      </c>
      <c r="Y94" s="6"/>
      <c r="Z94" s="6">
        <f ca="1">('TUSD BE'!$AM$33+'TUSD BF'!$AM$33+'TUSD CVA'!$AM$33)*(1-CUSTOS!$M$38)</f>
        <v>983.68270772870949</v>
      </c>
      <c r="AA94" s="6">
        <f>('TE BE'!$AA$23+'TE BF'!$AA$23+'TE CVA'!$AA$23)*(1-CUSTOS!$M$38)</f>
        <v>212.24710244942861</v>
      </c>
      <c r="AB94" s="6">
        <f t="shared" si="8"/>
        <v>0</v>
      </c>
      <c r="AC94" s="6">
        <f>(L94-M94)*(W94+X94)+($W$26+$X$26-$W$94-$X$94)*(L94)</f>
        <v>-9.7209500000000038</v>
      </c>
      <c r="AD94" s="6">
        <f t="shared" si="9"/>
        <v>0</v>
      </c>
      <c r="AE94" s="6">
        <f ca="1">(L94-M94)*(Z94+AA94)+($Z$26+$AA$26-$Z$94-$AA$94)*(L94)</f>
        <v>-6.030539681111037</v>
      </c>
      <c r="AF94" s="4" t="s">
        <v>544</v>
      </c>
    </row>
    <row r="95" spans="1:32" ht="11.25" customHeight="1" x14ac:dyDescent="0.3">
      <c r="A95" s="4" t="s">
        <v>21</v>
      </c>
      <c r="B95" s="4" t="s">
        <v>40</v>
      </c>
      <c r="C95" s="4" t="s">
        <v>23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44348</v>
      </c>
      <c r="J95" s="6">
        <v>0</v>
      </c>
      <c r="K95" s="6">
        <v>0</v>
      </c>
      <c r="L95" s="6">
        <v>129.67699999999999</v>
      </c>
      <c r="M95" s="6">
        <v>129.67699999999999</v>
      </c>
      <c r="N95" s="6">
        <v>129.67699999999999</v>
      </c>
      <c r="O95" s="6">
        <v>129.67699999999999</v>
      </c>
      <c r="P95" s="6">
        <v>261</v>
      </c>
      <c r="Q95" s="4" t="s">
        <v>26</v>
      </c>
      <c r="R95" s="4">
        <v>0</v>
      </c>
      <c r="S95" s="4">
        <v>0</v>
      </c>
      <c r="T95" s="4">
        <v>74</v>
      </c>
      <c r="U95" s="4">
        <v>21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724.89</v>
      </c>
      <c r="X95" s="6">
        <f>IF(ISERROR(VLOOKUP($U$95,'TAR FIN'!$A$1:$O$85,15,0)),0,VLOOKUP($U$95,'TAR FIN'!$A$1:$O$85,15,0))</f>
        <v>177.53</v>
      </c>
      <c r="Y95" s="6"/>
      <c r="Z95" s="6">
        <f ca="1">('TUSD BE'!$AM$33+'TUSD BF'!$AM$33+'TUSD CVA'!$AM$33)*(1-CUSTOS!$M$38)</f>
        <v>983.68270772870949</v>
      </c>
      <c r="AA95" s="6">
        <f>('TE BE'!$AA$23+'TE BF'!$AA$23+'TE CVA'!$AA$23)*(1-CUSTOS!$M$38)</f>
        <v>212.24710244942861</v>
      </c>
      <c r="AB95" s="6">
        <f t="shared" si="8"/>
        <v>0</v>
      </c>
      <c r="AC95" s="6">
        <f>(L95-M95)*(W95+X95)+($W$26+$X$26-$W$95-$X$95)*(L95)</f>
        <v>15956.754850000005</v>
      </c>
      <c r="AD95" s="6">
        <f t="shared" si="9"/>
        <v>0</v>
      </c>
      <c r="AE95" s="6">
        <f ca="1">(L95-M95)*(Z95+AA95)+($Z$26+$AA$26-$Z$95-$AA$95)*(L95)</f>
        <v>9899.0163826257703</v>
      </c>
      <c r="AF95" s="4" t="s">
        <v>544</v>
      </c>
    </row>
    <row r="96" spans="1:32" ht="11.25" customHeight="1" x14ac:dyDescent="0.3">
      <c r="A96" s="4" t="s">
        <v>27</v>
      </c>
      <c r="B96" s="4" t="s">
        <v>40</v>
      </c>
      <c r="C96" s="4" t="s">
        <v>23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44348</v>
      </c>
      <c r="J96" s="6">
        <v>0</v>
      </c>
      <c r="K96" s="6">
        <v>0</v>
      </c>
      <c r="L96" s="6">
        <v>-0.24099999999999999</v>
      </c>
      <c r="M96" s="6">
        <v>-0.24099999999999999</v>
      </c>
      <c r="N96" s="6">
        <v>-0.24099999999999999</v>
      </c>
      <c r="O96" s="6">
        <v>-0.24099999999999999</v>
      </c>
      <c r="P96" s="6">
        <v>0</v>
      </c>
      <c r="Q96" s="4" t="s">
        <v>26</v>
      </c>
      <c r="R96" s="4">
        <v>0</v>
      </c>
      <c r="S96" s="4">
        <v>0</v>
      </c>
      <c r="T96" s="4">
        <v>74</v>
      </c>
      <c r="U96" s="4">
        <v>21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724.89</v>
      </c>
      <c r="X96" s="6">
        <f>IF(ISERROR(VLOOKUP($U$96,'TAR FIN'!$A$1:$O$85,15,0)),0,VLOOKUP($U$96,'TAR FIN'!$A$1:$O$85,15,0))</f>
        <v>177.53</v>
      </c>
      <c r="Y96" s="6"/>
      <c r="Z96" s="6">
        <f ca="1">('TUSD BE'!$AM$33+'TUSD BF'!$AM$33+'TUSD CVA'!$AM$33)*(1-CUSTOS!$M$38)</f>
        <v>983.68270772870949</v>
      </c>
      <c r="AA96" s="6">
        <f>('TE BE'!$AA$23+'TE BF'!$AA$23+'TE CVA'!$AA$23)*(1-CUSTOS!$M$38)</f>
        <v>212.24710244942861</v>
      </c>
      <c r="AB96" s="6">
        <f t="shared" si="8"/>
        <v>0</v>
      </c>
      <c r="AC96" s="6">
        <f>(L96-M96)*(W96+X96)+($W$26+$X$26-$W$96-$X$96)*(L96)</f>
        <v>-29.65505000000001</v>
      </c>
      <c r="AD96" s="6">
        <f t="shared" si="9"/>
        <v>0</v>
      </c>
      <c r="AE96" s="6">
        <f ca="1">(L96-M96)*(Z96+AA96)+($Z$26+$AA$26-$Z$96-$AA$96)*(L96)</f>
        <v>-18.396962824655187</v>
      </c>
      <c r="AF96" s="4" t="s">
        <v>544</v>
      </c>
    </row>
    <row r="97" spans="1:32" ht="11.25" customHeight="1" x14ac:dyDescent="0.3">
      <c r="A97" s="4" t="s">
        <v>21</v>
      </c>
      <c r="B97" s="4" t="s">
        <v>40</v>
      </c>
      <c r="C97" s="4" t="s">
        <v>23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44378</v>
      </c>
      <c r="J97" s="6">
        <v>0</v>
      </c>
      <c r="K97" s="6">
        <v>0</v>
      </c>
      <c r="L97" s="6">
        <v>118.70099999999999</v>
      </c>
      <c r="M97" s="6">
        <v>118.70099999999999</v>
      </c>
      <c r="N97" s="6">
        <v>118.70099999999999</v>
      </c>
      <c r="O97" s="6">
        <v>118.70099999999999</v>
      </c>
      <c r="P97" s="6">
        <v>261</v>
      </c>
      <c r="Q97" s="4" t="s">
        <v>26</v>
      </c>
      <c r="R97" s="4">
        <v>0</v>
      </c>
      <c r="S97" s="4">
        <v>0</v>
      </c>
      <c r="T97" s="4">
        <v>74</v>
      </c>
      <c r="U97" s="4">
        <v>21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724.89</v>
      </c>
      <c r="X97" s="6">
        <f>IF(ISERROR(VLOOKUP($U$97,'TAR FIN'!$A$1:$O$85,15,0)),0,VLOOKUP($U$97,'TAR FIN'!$A$1:$O$85,15,0))</f>
        <v>177.53</v>
      </c>
      <c r="Y97" s="6"/>
      <c r="Z97" s="6">
        <f ca="1">('TUSD BE'!$AM$33+'TUSD BF'!$AM$33+'TUSD CVA'!$AM$33)*(1-CUSTOS!$M$38)</f>
        <v>983.68270772870949</v>
      </c>
      <c r="AA97" s="6">
        <f>('TE BE'!$AA$23+'TE BF'!$AA$23+'TE CVA'!$AA$23)*(1-CUSTOS!$M$38)</f>
        <v>212.24710244942861</v>
      </c>
      <c r="AB97" s="6">
        <f t="shared" si="8"/>
        <v>0</v>
      </c>
      <c r="AC97" s="6">
        <f>(L97-M97)*(W97+X97)+($W$26+$X$26-$W$97-$X$97)*(L97)</f>
        <v>14606.158050000004</v>
      </c>
      <c r="AD97" s="6">
        <f t="shared" si="9"/>
        <v>0</v>
      </c>
      <c r="AE97" s="6">
        <f ca="1">(L97-M97)*(Z97+AA97)+($Z$26+$AA$26-$Z$97-$AA$97)*(L97)</f>
        <v>9061.1530466779896</v>
      </c>
      <c r="AF97" s="4" t="s">
        <v>544</v>
      </c>
    </row>
    <row r="98" spans="1:32" ht="11.25" customHeight="1" x14ac:dyDescent="0.3">
      <c r="A98" s="4" t="s">
        <v>27</v>
      </c>
      <c r="B98" s="4" t="s">
        <v>40</v>
      </c>
      <c r="C98" s="4" t="s">
        <v>23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44378</v>
      </c>
      <c r="J98" s="6">
        <v>0</v>
      </c>
      <c r="K98" s="6">
        <v>0</v>
      </c>
      <c r="L98" s="6">
        <v>-0.22700000000000001</v>
      </c>
      <c r="M98" s="6">
        <v>-0.22700000000000001</v>
      </c>
      <c r="N98" s="6">
        <v>-0.22700000000000001</v>
      </c>
      <c r="O98" s="6">
        <v>-0.22700000000000001</v>
      </c>
      <c r="P98" s="6">
        <v>0</v>
      </c>
      <c r="Q98" s="4" t="s">
        <v>26</v>
      </c>
      <c r="R98" s="4">
        <v>0</v>
      </c>
      <c r="S98" s="4">
        <v>0</v>
      </c>
      <c r="T98" s="4">
        <v>74</v>
      </c>
      <c r="U98" s="4">
        <v>21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724.89</v>
      </c>
      <c r="X98" s="6">
        <f>IF(ISERROR(VLOOKUP($U$98,'TAR FIN'!$A$1:$O$85,15,0)),0,VLOOKUP($U$98,'TAR FIN'!$A$1:$O$85,15,0))</f>
        <v>177.53</v>
      </c>
      <c r="Y98" s="6"/>
      <c r="Z98" s="6">
        <f ca="1">('TUSD BE'!$AM$33+'TUSD BF'!$AM$33+'TUSD CVA'!$AM$33)*(1-CUSTOS!$M$38)</f>
        <v>983.68270772870949</v>
      </c>
      <c r="AA98" s="6">
        <f>('TE BE'!$AA$23+'TE BF'!$AA$23+'TE CVA'!$AA$23)*(1-CUSTOS!$M$38)</f>
        <v>212.24710244942861</v>
      </c>
      <c r="AB98" s="6">
        <f t="shared" ref="AB98:AB113" si="10">(J98-K98)*V98</f>
        <v>0</v>
      </c>
      <c r="AC98" s="6">
        <f>(L98-M98)*(W98+X98)+($W$26+$X$26-$W$98-$X$98)*(L98)</f>
        <v>-27.93235000000001</v>
      </c>
      <c r="AD98" s="6">
        <f t="shared" ref="AD98:AD113" si="11">(J98-K98)*Y98</f>
        <v>0</v>
      </c>
      <c r="AE98" s="6">
        <f ca="1">(L98-M98)*(Z98+AA98)+($Z$26+$AA$26-$Z$98-$AA$98)*(L98)</f>
        <v>-17.328259590027915</v>
      </c>
      <c r="AF98" s="4" t="s">
        <v>544</v>
      </c>
    </row>
    <row r="99" spans="1:32" ht="11.25" customHeight="1" x14ac:dyDescent="0.3">
      <c r="A99" s="4" t="s">
        <v>21</v>
      </c>
      <c r="B99" s="4" t="s">
        <v>40</v>
      </c>
      <c r="C99" s="4" t="s">
        <v>23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44409</v>
      </c>
      <c r="J99" s="6">
        <v>0</v>
      </c>
      <c r="K99" s="6">
        <v>0</v>
      </c>
      <c r="L99" s="6">
        <v>122.214</v>
      </c>
      <c r="M99" s="6">
        <v>122.214</v>
      </c>
      <c r="N99" s="6">
        <v>122.214</v>
      </c>
      <c r="O99" s="6">
        <v>122.214</v>
      </c>
      <c r="P99" s="6">
        <v>261</v>
      </c>
      <c r="Q99" s="4" t="s">
        <v>26</v>
      </c>
      <c r="R99" s="4">
        <v>0</v>
      </c>
      <c r="S99" s="4">
        <v>0</v>
      </c>
      <c r="T99" s="4">
        <v>74</v>
      </c>
      <c r="U99" s="4">
        <v>21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724.89</v>
      </c>
      <c r="X99" s="6">
        <f>IF(ISERROR(VLOOKUP($U$99,'TAR FIN'!$A$1:$O$85,15,0)),0,VLOOKUP($U$99,'TAR FIN'!$A$1:$O$85,15,0))</f>
        <v>177.53</v>
      </c>
      <c r="Y99" s="6"/>
      <c r="Z99" s="6">
        <f ca="1">('TUSD BE'!$AM$33+'TUSD BF'!$AM$33+'TUSD CVA'!$AM$33)*(1-CUSTOS!$M$38)</f>
        <v>983.68270772870949</v>
      </c>
      <c r="AA99" s="6">
        <f>('TE BE'!$AA$23+'TE BF'!$AA$23+'TE CVA'!$AA$23)*(1-CUSTOS!$M$38)</f>
        <v>212.24710244942861</v>
      </c>
      <c r="AB99" s="6">
        <f t="shared" si="10"/>
        <v>0</v>
      </c>
      <c r="AC99" s="6">
        <f>(L99-M99)*(W99+X99)+($W$26+$X$26-$W$99-$X$99)*(L99)</f>
        <v>15038.432700000005</v>
      </c>
      <c r="AD99" s="6">
        <f t="shared" si="11"/>
        <v>0</v>
      </c>
      <c r="AE99" s="6">
        <f ca="1">(L99-M99)*(Z99+AA99)+($Z$26+$AA$26-$Z$99-$AA$99)*(L99)</f>
        <v>9329.3212226241048</v>
      </c>
      <c r="AF99" s="4" t="s">
        <v>544</v>
      </c>
    </row>
    <row r="100" spans="1:32" ht="11.25" customHeight="1" x14ac:dyDescent="0.3">
      <c r="A100" s="4" t="s">
        <v>21</v>
      </c>
      <c r="B100" s="4" t="s">
        <v>40</v>
      </c>
      <c r="C100" s="4" t="s">
        <v>23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44440</v>
      </c>
      <c r="J100" s="6">
        <v>0</v>
      </c>
      <c r="K100" s="6">
        <v>0</v>
      </c>
      <c r="L100" s="6">
        <v>131.24199999999999</v>
      </c>
      <c r="M100" s="6">
        <v>131.24199999999999</v>
      </c>
      <c r="N100" s="6">
        <v>131.24199999999999</v>
      </c>
      <c r="O100" s="6">
        <v>131.24199999999999</v>
      </c>
      <c r="P100" s="6">
        <v>261</v>
      </c>
      <c r="Q100" s="4" t="s">
        <v>26</v>
      </c>
      <c r="R100" s="4">
        <v>0</v>
      </c>
      <c r="S100" s="4">
        <v>0</v>
      </c>
      <c r="T100" s="4">
        <v>74</v>
      </c>
      <c r="U100" s="4">
        <v>21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724.89</v>
      </c>
      <c r="X100" s="6">
        <f>IF(ISERROR(VLOOKUP($U$100,'TAR FIN'!$A$1:$O$85,15,0)),0,VLOOKUP($U$100,'TAR FIN'!$A$1:$O$85,15,0))</f>
        <v>177.53</v>
      </c>
      <c r="Y100" s="6"/>
      <c r="Z100" s="6">
        <f ca="1">('TUSD BE'!$AM$33+'TUSD BF'!$AM$33+'TUSD CVA'!$AM$33)*(1-CUSTOS!$M$38)</f>
        <v>983.68270772870949</v>
      </c>
      <c r="AA100" s="6">
        <f>('TE BE'!$AA$23+'TE BF'!$AA$23+'TE CVA'!$AA$23)*(1-CUSTOS!$M$38)</f>
        <v>212.24710244942861</v>
      </c>
      <c r="AB100" s="6">
        <f t="shared" si="10"/>
        <v>0</v>
      </c>
      <c r="AC100" s="6">
        <f>(L100-M100)*(W100+X100)+($W$26+$X$26-$W$100-$X$100)*(L100)</f>
        <v>16149.328100000004</v>
      </c>
      <c r="AD100" s="6">
        <f t="shared" si="11"/>
        <v>0</v>
      </c>
      <c r="AE100" s="6">
        <f ca="1">(L100-M100)*(Z100+AA100)+($Z$26+$AA$26-$Z$100-$AA$100)*(L100)</f>
        <v>10018.482137068033</v>
      </c>
      <c r="AF100" s="4" t="s">
        <v>544</v>
      </c>
    </row>
    <row r="101" spans="1:32" ht="11.25" customHeight="1" x14ac:dyDescent="0.3">
      <c r="A101" s="4" t="s">
        <v>21</v>
      </c>
      <c r="B101" s="4" t="s">
        <v>40</v>
      </c>
      <c r="C101" s="4" t="s">
        <v>23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44470</v>
      </c>
      <c r="J101" s="6">
        <v>0</v>
      </c>
      <c r="K101" s="6">
        <v>0</v>
      </c>
      <c r="L101" s="6">
        <v>116.65600000000001</v>
      </c>
      <c r="M101" s="6">
        <v>116.65600000000001</v>
      </c>
      <c r="N101" s="6">
        <v>116.65600000000001</v>
      </c>
      <c r="O101" s="6">
        <v>116.65600000000001</v>
      </c>
      <c r="P101" s="6">
        <v>256</v>
      </c>
      <c r="Q101" s="4" t="s">
        <v>26</v>
      </c>
      <c r="R101" s="4">
        <v>0</v>
      </c>
      <c r="S101" s="4">
        <v>0</v>
      </c>
      <c r="T101" s="4">
        <v>74</v>
      </c>
      <c r="U101" s="4">
        <v>21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724.89</v>
      </c>
      <c r="X101" s="6">
        <f>IF(ISERROR(VLOOKUP($U$101,'TAR FIN'!$A$1:$O$85,15,0)),0,VLOOKUP($U$101,'TAR FIN'!$A$1:$O$85,15,0))</f>
        <v>177.53</v>
      </c>
      <c r="Y101" s="6"/>
      <c r="Z101" s="6">
        <f ca="1">('TUSD BE'!$AM$33+'TUSD BF'!$AM$33+'TUSD CVA'!$AM$33)*(1-CUSTOS!$M$38)</f>
        <v>983.68270772870949</v>
      </c>
      <c r="AA101" s="6">
        <f>('TE BE'!$AA$23+'TE BF'!$AA$23+'TE CVA'!$AA$23)*(1-CUSTOS!$M$38)</f>
        <v>212.24710244942861</v>
      </c>
      <c r="AB101" s="6">
        <f t="shared" si="10"/>
        <v>0</v>
      </c>
      <c r="AC101" s="6">
        <f>(L101-M101)*(W101+X101)+($W$26+$X$26-$W$101-$X$101)*(L101)</f>
        <v>14354.520800000006</v>
      </c>
      <c r="AD101" s="6">
        <f t="shared" si="11"/>
        <v>0</v>
      </c>
      <c r="AE101" s="6">
        <f ca="1">(L101-M101)*(Z101+AA101)+($Z$26+$AA$26-$Z$101-$AA$101)*(L101)</f>
        <v>8905.0460384770777</v>
      </c>
      <c r="AF101" s="4" t="s">
        <v>544</v>
      </c>
    </row>
    <row r="102" spans="1:32" ht="11.25" customHeight="1" x14ac:dyDescent="0.3">
      <c r="A102" s="4" t="s">
        <v>28</v>
      </c>
      <c r="B102" s="4" t="s">
        <v>40</v>
      </c>
      <c r="C102" s="4" t="s">
        <v>23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44470</v>
      </c>
      <c r="J102" s="6">
        <v>0</v>
      </c>
      <c r="K102" s="6">
        <v>0</v>
      </c>
      <c r="L102" s="6">
        <v>1.3080000000000001</v>
      </c>
      <c r="M102" s="6">
        <v>1.3080000000000001</v>
      </c>
      <c r="N102" s="6">
        <v>1.3080000000000001</v>
      </c>
      <c r="O102" s="6">
        <v>1.3080000000000001</v>
      </c>
      <c r="P102" s="6">
        <v>1</v>
      </c>
      <c r="Q102" s="4" t="s">
        <v>26</v>
      </c>
      <c r="R102" s="4">
        <v>0</v>
      </c>
      <c r="S102" s="4">
        <v>0</v>
      </c>
      <c r="T102" s="4">
        <v>74</v>
      </c>
      <c r="U102" s="4">
        <v>21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724.89</v>
      </c>
      <c r="X102" s="6">
        <f>IF(ISERROR(VLOOKUP($U$102,'TAR FIN'!$A$1:$O$85,15,0)),0,VLOOKUP($U$102,'TAR FIN'!$A$1:$O$85,15,0))</f>
        <v>177.53</v>
      </c>
      <c r="Y102" s="6"/>
      <c r="Z102" s="6">
        <f ca="1">('TUSD BE'!$AM$33+'TUSD BF'!$AM$33+'TUSD CVA'!$AM$33)*(1-CUSTOS!$M$38)</f>
        <v>983.68270772870949</v>
      </c>
      <c r="AA102" s="6">
        <f>('TE BE'!$AA$23+'TE BF'!$AA$23+'TE CVA'!$AA$23)*(1-CUSTOS!$M$38)</f>
        <v>212.24710244942861</v>
      </c>
      <c r="AB102" s="6">
        <f t="shared" si="10"/>
        <v>0</v>
      </c>
      <c r="AC102" s="6">
        <f>(L102-M102)*(W102+X102)+($W$26+$X$26-$W$102-$X$102)*(L102)</f>
        <v>160.94940000000005</v>
      </c>
      <c r="AD102" s="6">
        <f t="shared" si="11"/>
        <v>0</v>
      </c>
      <c r="AE102" s="6">
        <f ca="1">(L102-M102)*(Z102+AA102)+($Z$26+$AA$26-$Z$102-$AA$102)*(L102)</f>
        <v>99.847416492319439</v>
      </c>
      <c r="AF102" s="4" t="s">
        <v>544</v>
      </c>
    </row>
    <row r="103" spans="1:32" ht="11.25" customHeight="1" x14ac:dyDescent="0.3">
      <c r="A103" s="4" t="s">
        <v>21</v>
      </c>
      <c r="B103" s="4" t="s">
        <v>40</v>
      </c>
      <c r="C103" s="4" t="s">
        <v>23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44501</v>
      </c>
      <c r="J103" s="6">
        <v>0</v>
      </c>
      <c r="K103" s="6">
        <v>0</v>
      </c>
      <c r="L103" s="6">
        <v>125.11799999999999</v>
      </c>
      <c r="M103" s="6">
        <v>125.11799999999999</v>
      </c>
      <c r="N103" s="6">
        <v>125.11799999999999</v>
      </c>
      <c r="O103" s="6">
        <v>125.11799999999999</v>
      </c>
      <c r="P103" s="6">
        <v>256</v>
      </c>
      <c r="Q103" s="4" t="s">
        <v>26</v>
      </c>
      <c r="R103" s="4">
        <v>0</v>
      </c>
      <c r="S103" s="4">
        <v>0</v>
      </c>
      <c r="T103" s="4">
        <v>74</v>
      </c>
      <c r="U103" s="4">
        <v>21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724.89</v>
      </c>
      <c r="X103" s="6">
        <f>IF(ISERROR(VLOOKUP($U$103,'TAR FIN'!$A$1:$O$85,15,0)),0,VLOOKUP($U$103,'TAR FIN'!$A$1:$O$85,15,0))</f>
        <v>177.53</v>
      </c>
      <c r="Y103" s="6"/>
      <c r="Z103" s="6">
        <f ca="1">('TUSD BE'!$AM$33+'TUSD BF'!$AM$33+'TUSD CVA'!$AM$33)*(1-CUSTOS!$M$38)</f>
        <v>983.68270772870949</v>
      </c>
      <c r="AA103" s="6">
        <f>('TE BE'!$AA$23+'TE BF'!$AA$23+'TE CVA'!$AA$23)*(1-CUSTOS!$M$38)</f>
        <v>212.24710244942861</v>
      </c>
      <c r="AB103" s="6">
        <f t="shared" si="10"/>
        <v>0</v>
      </c>
      <c r="AC103" s="6">
        <f>(L103-M103)*(W103+X103)+($W$26+$X$26-$W$103-$X$103)*(L103)</f>
        <v>15395.769900000005</v>
      </c>
      <c r="AD103" s="6">
        <f t="shared" si="11"/>
        <v>0</v>
      </c>
      <c r="AE103" s="6">
        <f ca="1">(L103-M103)*(Z103+AA103)+($Z$26+$AA$26-$Z$103-$AA$103)*(L103)</f>
        <v>9551.000807863933</v>
      </c>
      <c r="AF103" s="4" t="s">
        <v>544</v>
      </c>
    </row>
    <row r="104" spans="1:32" ht="11.25" customHeight="1" x14ac:dyDescent="0.3">
      <c r="A104" s="4" t="s">
        <v>27</v>
      </c>
      <c r="B104" s="4" t="s">
        <v>40</v>
      </c>
      <c r="C104" s="4" t="s">
        <v>23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44501</v>
      </c>
      <c r="J104" s="6">
        <v>0</v>
      </c>
      <c r="K104" s="6">
        <v>0</v>
      </c>
      <c r="L104" s="6">
        <v>-0.80100000000000005</v>
      </c>
      <c r="M104" s="6">
        <v>-0.80100000000000005</v>
      </c>
      <c r="N104" s="6">
        <v>-0.80100000000000005</v>
      </c>
      <c r="O104" s="6">
        <v>-0.80100000000000005</v>
      </c>
      <c r="P104" s="6">
        <v>0</v>
      </c>
      <c r="Q104" s="4" t="s">
        <v>26</v>
      </c>
      <c r="R104" s="4">
        <v>0</v>
      </c>
      <c r="S104" s="4">
        <v>0</v>
      </c>
      <c r="T104" s="4">
        <v>74</v>
      </c>
      <c r="U104" s="4">
        <v>21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724.89</v>
      </c>
      <c r="X104" s="6">
        <f>IF(ISERROR(VLOOKUP($U$104,'TAR FIN'!$A$1:$O$85,15,0)),0,VLOOKUP($U$104,'TAR FIN'!$A$1:$O$85,15,0))</f>
        <v>177.53</v>
      </c>
      <c r="Y104" s="6"/>
      <c r="Z104" s="6">
        <f ca="1">('TUSD BE'!$AM$33+'TUSD BF'!$AM$33+'TUSD CVA'!$AM$33)*(1-CUSTOS!$M$38)</f>
        <v>983.68270772870949</v>
      </c>
      <c r="AA104" s="6">
        <f>('TE BE'!$AA$23+'TE BF'!$AA$23+'TE CVA'!$AA$23)*(1-CUSTOS!$M$38)</f>
        <v>212.24710244942861</v>
      </c>
      <c r="AB104" s="6">
        <f t="shared" si="10"/>
        <v>0</v>
      </c>
      <c r="AC104" s="6">
        <f>(L104-M104)*(W104+X104)+($W$26+$X$26-$W$104-$X$104)*(L104)</f>
        <v>-98.563050000000032</v>
      </c>
      <c r="AD104" s="6">
        <f t="shared" si="11"/>
        <v>0</v>
      </c>
      <c r="AE104" s="6">
        <f ca="1">(L104-M104)*(Z104+AA104)+($Z$26+$AA$26-$Z$104-$AA$104)*(L104)</f>
        <v>-61.145092209746082</v>
      </c>
      <c r="AF104" s="4" t="s">
        <v>544</v>
      </c>
    </row>
    <row r="105" spans="1:32" ht="11.25" customHeight="1" x14ac:dyDescent="0.3">
      <c r="A105" s="4" t="s">
        <v>28</v>
      </c>
      <c r="B105" s="4" t="s">
        <v>40</v>
      </c>
      <c r="C105" s="4" t="s">
        <v>23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44501</v>
      </c>
      <c r="J105" s="6">
        <v>0</v>
      </c>
      <c r="K105" s="6">
        <v>0</v>
      </c>
      <c r="L105" s="6">
        <v>0.88</v>
      </c>
      <c r="M105" s="6">
        <v>0.88</v>
      </c>
      <c r="N105" s="6">
        <v>0.88</v>
      </c>
      <c r="O105" s="6">
        <v>0.88</v>
      </c>
      <c r="P105" s="6">
        <v>1</v>
      </c>
      <c r="Q105" s="4" t="s">
        <v>26</v>
      </c>
      <c r="R105" s="4">
        <v>0</v>
      </c>
      <c r="S105" s="4">
        <v>0</v>
      </c>
      <c r="T105" s="4">
        <v>74</v>
      </c>
      <c r="U105" s="4">
        <v>21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724.89</v>
      </c>
      <c r="X105" s="6">
        <f>IF(ISERROR(VLOOKUP($U$105,'TAR FIN'!$A$1:$O$85,15,0)),0,VLOOKUP($U$105,'TAR FIN'!$A$1:$O$85,15,0))</f>
        <v>177.53</v>
      </c>
      <c r="Y105" s="6"/>
      <c r="Z105" s="6">
        <f ca="1">('TUSD BE'!$AM$33+'TUSD BF'!$AM$33+'TUSD CVA'!$AM$33)*(1-CUSTOS!$M$38)</f>
        <v>983.68270772870949</v>
      </c>
      <c r="AA105" s="6">
        <f>('TE BE'!$AA$23+'TE BF'!$AA$23+'TE CVA'!$AA$23)*(1-CUSTOS!$M$38)</f>
        <v>212.24710244942861</v>
      </c>
      <c r="AB105" s="6">
        <f t="shared" si="10"/>
        <v>0</v>
      </c>
      <c r="AC105" s="6">
        <f>(L105-M105)*(W105+X105)+($W$26+$X$26-$W$105-$X$105)*(L105)</f>
        <v>108.28400000000003</v>
      </c>
      <c r="AD105" s="6">
        <f t="shared" si="11"/>
        <v>0</v>
      </c>
      <c r="AE105" s="6">
        <f ca="1">(L105-M105)*(Z105+AA105)+($Z$26+$AA$26-$Z$105-$AA$105)*(L105)</f>
        <v>67.175631890857119</v>
      </c>
      <c r="AF105" s="4" t="s">
        <v>544</v>
      </c>
    </row>
    <row r="106" spans="1:32" ht="11.25" customHeight="1" x14ac:dyDescent="0.3">
      <c r="A106" s="4" t="s">
        <v>21</v>
      </c>
      <c r="B106" s="4" t="s">
        <v>40</v>
      </c>
      <c r="C106" s="4" t="s">
        <v>23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44531</v>
      </c>
      <c r="J106" s="6">
        <v>0</v>
      </c>
      <c r="K106" s="6">
        <v>0</v>
      </c>
      <c r="L106" s="6">
        <v>129.33799999999999</v>
      </c>
      <c r="M106" s="6">
        <v>129.33799999999999</v>
      </c>
      <c r="N106" s="6">
        <v>129.33799999999999</v>
      </c>
      <c r="O106" s="6">
        <v>129.33799999999999</v>
      </c>
      <c r="P106" s="6">
        <v>253</v>
      </c>
      <c r="Q106" s="4" t="s">
        <v>26</v>
      </c>
      <c r="R106" s="4">
        <v>0</v>
      </c>
      <c r="S106" s="4">
        <v>0</v>
      </c>
      <c r="T106" s="4">
        <v>74</v>
      </c>
      <c r="U106" s="4">
        <v>21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724.89</v>
      </c>
      <c r="X106" s="6">
        <f>IF(ISERROR(VLOOKUP($U$106,'TAR FIN'!$A$1:$O$85,15,0)),0,VLOOKUP($U$106,'TAR FIN'!$A$1:$O$85,15,0))</f>
        <v>177.53</v>
      </c>
      <c r="Y106" s="6"/>
      <c r="Z106" s="6">
        <f ca="1">('TUSD BE'!$AM$33+'TUSD BF'!$AM$33+'TUSD CVA'!$AM$33)*(1-CUSTOS!$M$38)</f>
        <v>983.68270772870949</v>
      </c>
      <c r="AA106" s="6">
        <f>('TE BE'!$AA$23+'TE BF'!$AA$23+'TE CVA'!$AA$23)*(1-CUSTOS!$M$38)</f>
        <v>212.24710244942861</v>
      </c>
      <c r="AB106" s="6">
        <f t="shared" si="10"/>
        <v>0</v>
      </c>
      <c r="AC106" s="6">
        <f>(L106-M106)*(W106+X106)+($W$26+$X$26-$W$106-$X$106)*(L106)</f>
        <v>15915.040900000004</v>
      </c>
      <c r="AD106" s="6">
        <f t="shared" si="11"/>
        <v>0</v>
      </c>
      <c r="AE106" s="6">
        <f ca="1">(L106-M106)*(Z106+AA106)+($Z$26+$AA$26-$Z$106-$AA$106)*(L106)</f>
        <v>9873.1384971587249</v>
      </c>
      <c r="AF106" s="4" t="s">
        <v>544</v>
      </c>
    </row>
    <row r="107" spans="1:32" ht="11.25" customHeight="1" x14ac:dyDescent="0.3">
      <c r="A107" s="4" t="s">
        <v>28</v>
      </c>
      <c r="B107" s="4" t="s">
        <v>40</v>
      </c>
      <c r="C107" s="4" t="s">
        <v>23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44531</v>
      </c>
      <c r="J107" s="6">
        <v>0</v>
      </c>
      <c r="K107" s="6">
        <v>0</v>
      </c>
      <c r="L107" s="6">
        <v>0.79500000000000004</v>
      </c>
      <c r="M107" s="6">
        <v>0.79500000000000004</v>
      </c>
      <c r="N107" s="6">
        <v>0.79500000000000004</v>
      </c>
      <c r="O107" s="6">
        <v>0.79500000000000004</v>
      </c>
      <c r="P107" s="6">
        <v>1</v>
      </c>
      <c r="Q107" s="4" t="s">
        <v>26</v>
      </c>
      <c r="R107" s="4">
        <v>0</v>
      </c>
      <c r="S107" s="4">
        <v>0</v>
      </c>
      <c r="T107" s="4">
        <v>74</v>
      </c>
      <c r="U107" s="4">
        <v>21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724.89</v>
      </c>
      <c r="X107" s="6">
        <f>IF(ISERROR(VLOOKUP($U$107,'TAR FIN'!$A$1:$O$85,15,0)),0,VLOOKUP($U$107,'TAR FIN'!$A$1:$O$85,15,0))</f>
        <v>177.53</v>
      </c>
      <c r="Y107" s="6"/>
      <c r="Z107" s="6">
        <f ca="1">('TUSD BE'!$AM$33+'TUSD BF'!$AM$33+'TUSD CVA'!$AM$33)*(1-CUSTOS!$M$38)</f>
        <v>983.68270772870949</v>
      </c>
      <c r="AA107" s="6">
        <f>('TE BE'!$AA$23+'TE BF'!$AA$23+'TE CVA'!$AA$23)*(1-CUSTOS!$M$38)</f>
        <v>212.24710244942861</v>
      </c>
      <c r="AB107" s="6">
        <f t="shared" si="10"/>
        <v>0</v>
      </c>
      <c r="AC107" s="6">
        <f>(L107-M107)*(W107+X107)+($W$26+$X$26-$W$107-$X$107)*(L107)</f>
        <v>97.824750000000037</v>
      </c>
      <c r="AD107" s="6">
        <f t="shared" si="11"/>
        <v>0</v>
      </c>
      <c r="AE107" s="6">
        <f ca="1">(L107-M107)*(Z107+AA107)+($Z$26+$AA$26-$Z$107-$AA$107)*(L107)</f>
        <v>60.68707653776297</v>
      </c>
      <c r="AF107" s="4" t="s">
        <v>544</v>
      </c>
    </row>
    <row r="108" spans="1:32" ht="11.25" customHeight="1" x14ac:dyDescent="0.3">
      <c r="A108" s="4" t="s">
        <v>21</v>
      </c>
      <c r="B108" s="4" t="s">
        <v>40</v>
      </c>
      <c r="C108" s="4" t="s">
        <v>23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44562</v>
      </c>
      <c r="J108" s="6">
        <v>0</v>
      </c>
      <c r="K108" s="6">
        <v>0</v>
      </c>
      <c r="L108" s="6">
        <v>132.16300000000001</v>
      </c>
      <c r="M108" s="6">
        <v>132.16300000000001</v>
      </c>
      <c r="N108" s="6">
        <v>132.16300000000001</v>
      </c>
      <c r="O108" s="6">
        <v>132.16300000000001</v>
      </c>
      <c r="P108" s="6">
        <v>248</v>
      </c>
      <c r="Q108" s="4" t="s">
        <v>26</v>
      </c>
      <c r="R108" s="4">
        <v>0</v>
      </c>
      <c r="S108" s="4">
        <v>0</v>
      </c>
      <c r="T108" s="4">
        <v>74</v>
      </c>
      <c r="U108" s="4">
        <v>21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724.89</v>
      </c>
      <c r="X108" s="6">
        <f>IF(ISERROR(VLOOKUP($U$108,'TAR FIN'!$A$1:$O$85,15,0)),0,VLOOKUP($U$108,'TAR FIN'!$A$1:$O$85,15,0))</f>
        <v>177.53</v>
      </c>
      <c r="Y108" s="6"/>
      <c r="Z108" s="6">
        <f ca="1">('TUSD BE'!$AM$33+'TUSD BF'!$AM$33+'TUSD CVA'!$AM$33)*(1-CUSTOS!$M$38)</f>
        <v>983.68270772870949</v>
      </c>
      <c r="AA108" s="6">
        <f>('TE BE'!$AA$23+'TE BF'!$AA$23+'TE CVA'!$AA$23)*(1-CUSTOS!$M$38)</f>
        <v>212.24710244942861</v>
      </c>
      <c r="AB108" s="6">
        <f t="shared" si="10"/>
        <v>0</v>
      </c>
      <c r="AC108" s="6">
        <f>(L108-M108)*(W108+X108)+($W$26+$X$26-$W$108-$X$108)*(L108)</f>
        <v>16262.657150000006</v>
      </c>
      <c r="AD108" s="6">
        <f t="shared" si="11"/>
        <v>0</v>
      </c>
      <c r="AE108" s="6">
        <f ca="1">(L108-M108)*(Z108+AA108)+($Z$26+$AA$26-$Z$108-$AA$108)*(L108)</f>
        <v>10088.787542717442</v>
      </c>
      <c r="AF108" s="4" t="s">
        <v>544</v>
      </c>
    </row>
    <row r="109" spans="1:32" ht="11.25" customHeight="1" x14ac:dyDescent="0.3">
      <c r="A109" s="4" t="s">
        <v>28</v>
      </c>
      <c r="B109" s="4" t="s">
        <v>40</v>
      </c>
      <c r="C109" s="4" t="s">
        <v>23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44562</v>
      </c>
      <c r="J109" s="6">
        <v>0</v>
      </c>
      <c r="K109" s="6">
        <v>0</v>
      </c>
      <c r="L109" s="6">
        <v>1.927</v>
      </c>
      <c r="M109" s="6">
        <v>1.927</v>
      </c>
      <c r="N109" s="6">
        <v>1.927</v>
      </c>
      <c r="O109" s="6">
        <v>1.927</v>
      </c>
      <c r="P109" s="6">
        <v>2</v>
      </c>
      <c r="Q109" s="4" t="s">
        <v>26</v>
      </c>
      <c r="R109" s="4">
        <v>0</v>
      </c>
      <c r="S109" s="4">
        <v>0</v>
      </c>
      <c r="T109" s="4">
        <v>74</v>
      </c>
      <c r="U109" s="4">
        <v>21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724.89</v>
      </c>
      <c r="X109" s="6">
        <f>IF(ISERROR(VLOOKUP($U$109,'TAR FIN'!$A$1:$O$85,15,0)),0,VLOOKUP($U$109,'TAR FIN'!$A$1:$O$85,15,0))</f>
        <v>177.53</v>
      </c>
      <c r="Y109" s="6"/>
      <c r="Z109" s="6">
        <f ca="1">('TUSD BE'!$AM$33+'TUSD BF'!$AM$33+'TUSD CVA'!$AM$33)*(1-CUSTOS!$M$38)</f>
        <v>983.68270772870949</v>
      </c>
      <c r="AA109" s="6">
        <f>('TE BE'!$AA$23+'TE BF'!$AA$23+'TE CVA'!$AA$23)*(1-CUSTOS!$M$38)</f>
        <v>212.24710244942861</v>
      </c>
      <c r="AB109" s="6">
        <f t="shared" si="10"/>
        <v>0</v>
      </c>
      <c r="AC109" s="6">
        <f>(L109-M109)*(W109+X109)+($W$26+$X$26-$W$109-$X$109)*(L109)</f>
        <v>237.11735000000007</v>
      </c>
      <c r="AD109" s="6">
        <f t="shared" si="11"/>
        <v>0</v>
      </c>
      <c r="AE109" s="6">
        <f ca="1">(L109-M109)*(Z109+AA109)+($Z$26+$AA$26-$Z$109-$AA$109)*(L109)</f>
        <v>147.099366651911</v>
      </c>
      <c r="AF109" s="4" t="s">
        <v>544</v>
      </c>
    </row>
    <row r="110" spans="1:32" ht="11.25" customHeight="1" x14ac:dyDescent="0.3">
      <c r="A110" s="4" t="s">
        <v>21</v>
      </c>
      <c r="B110" s="4" t="s">
        <v>40</v>
      </c>
      <c r="C110" s="4" t="s">
        <v>23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44593</v>
      </c>
      <c r="J110" s="6">
        <v>0</v>
      </c>
      <c r="K110" s="6">
        <v>0</v>
      </c>
      <c r="L110" s="6">
        <v>131.50399999999999</v>
      </c>
      <c r="M110" s="6">
        <v>131.50399999999999</v>
      </c>
      <c r="N110" s="6">
        <v>131.50399999999999</v>
      </c>
      <c r="O110" s="6">
        <v>131.50399999999999</v>
      </c>
      <c r="P110" s="6">
        <v>247</v>
      </c>
      <c r="Q110" s="4" t="s">
        <v>26</v>
      </c>
      <c r="R110" s="4">
        <v>0</v>
      </c>
      <c r="S110" s="4">
        <v>0</v>
      </c>
      <c r="T110" s="4">
        <v>74</v>
      </c>
      <c r="U110" s="4">
        <v>21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724.89</v>
      </c>
      <c r="X110" s="6">
        <f>IF(ISERROR(VLOOKUP($U$110,'TAR FIN'!$A$1:$O$85,15,0)),0,VLOOKUP($U$110,'TAR FIN'!$A$1:$O$85,15,0))</f>
        <v>177.53</v>
      </c>
      <c r="Y110" s="6"/>
      <c r="Z110" s="6">
        <f ca="1">('TUSD BE'!$AM$33+'TUSD BF'!$AM$33+'TUSD CVA'!$AM$33)*(1-CUSTOS!$M$38)</f>
        <v>983.68270772870949</v>
      </c>
      <c r="AA110" s="6">
        <f>('TE BE'!$AA$23+'TE BF'!$AA$23+'TE CVA'!$AA$23)*(1-CUSTOS!$M$38)</f>
        <v>212.24710244942861</v>
      </c>
      <c r="AB110" s="6">
        <f t="shared" si="10"/>
        <v>0</v>
      </c>
      <c r="AC110" s="6">
        <f>(L110-M110)*(W110+X110)+($W$26+$X$26-$W$110-$X$110)*(L110)</f>
        <v>16181.567200000005</v>
      </c>
      <c r="AD110" s="6">
        <f t="shared" si="11"/>
        <v>0</v>
      </c>
      <c r="AE110" s="6">
        <f ca="1">(L110-M110)*(Z110+AA110)+($Z$26+$AA$26-$Z$110-$AA$110)*(L110)</f>
        <v>10038.48215474463</v>
      </c>
      <c r="AF110" s="4" t="s">
        <v>544</v>
      </c>
    </row>
    <row r="111" spans="1:32" ht="11.25" customHeight="1" x14ac:dyDescent="0.3">
      <c r="A111" s="4" t="s">
        <v>28</v>
      </c>
      <c r="B111" s="4" t="s">
        <v>40</v>
      </c>
      <c r="C111" s="4" t="s">
        <v>23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44593</v>
      </c>
      <c r="J111" s="6">
        <v>0</v>
      </c>
      <c r="K111" s="6">
        <v>0</v>
      </c>
      <c r="L111" s="6">
        <v>0.316</v>
      </c>
      <c r="M111" s="6">
        <v>0.316</v>
      </c>
      <c r="N111" s="6">
        <v>0.316</v>
      </c>
      <c r="O111" s="6">
        <v>0.316</v>
      </c>
      <c r="P111" s="6">
        <v>2</v>
      </c>
      <c r="Q111" s="4" t="s">
        <v>26</v>
      </c>
      <c r="R111" s="4">
        <v>0</v>
      </c>
      <c r="S111" s="4">
        <v>0</v>
      </c>
      <c r="T111" s="4">
        <v>74</v>
      </c>
      <c r="U111" s="4">
        <v>21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724.89</v>
      </c>
      <c r="X111" s="6">
        <f>IF(ISERROR(VLOOKUP($U$111,'TAR FIN'!$A$1:$O$85,15,0)),0,VLOOKUP($U$111,'TAR FIN'!$A$1:$O$85,15,0))</f>
        <v>177.53</v>
      </c>
      <c r="Y111" s="6"/>
      <c r="Z111" s="6">
        <f ca="1">('TUSD BE'!$AM$33+'TUSD BF'!$AM$33+'TUSD CVA'!$AM$33)*(1-CUSTOS!$M$38)</f>
        <v>983.68270772870949</v>
      </c>
      <c r="AA111" s="6">
        <f>('TE BE'!$AA$23+'TE BF'!$AA$23+'TE CVA'!$AA$23)*(1-CUSTOS!$M$38)</f>
        <v>212.24710244942861</v>
      </c>
      <c r="AB111" s="6">
        <f t="shared" si="10"/>
        <v>0</v>
      </c>
      <c r="AC111" s="6">
        <f>(L111-M111)*(W111+X111)+($W$26+$X$26-$W$111-$X$111)*(L111)</f>
        <v>38.883800000000015</v>
      </c>
      <c r="AD111" s="6">
        <f t="shared" si="11"/>
        <v>0</v>
      </c>
      <c r="AE111" s="6">
        <f ca="1">(L111-M111)*(Z111+AA111)+($Z$26+$AA$26-$Z$111-$AA$111)*(L111)</f>
        <v>24.122158724444148</v>
      </c>
      <c r="AF111" s="4" t="s">
        <v>544</v>
      </c>
    </row>
    <row r="112" spans="1:32" ht="11.25" customHeight="1" x14ac:dyDescent="0.3">
      <c r="A112" s="4" t="s">
        <v>21</v>
      </c>
      <c r="B112" s="4" t="s">
        <v>40</v>
      </c>
      <c r="C112" s="4" t="s">
        <v>23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44621</v>
      </c>
      <c r="J112" s="6">
        <v>0</v>
      </c>
      <c r="K112" s="6">
        <v>0</v>
      </c>
      <c r="L112" s="6">
        <v>122.595</v>
      </c>
      <c r="M112" s="6">
        <v>122.595</v>
      </c>
      <c r="N112" s="6">
        <v>122.595</v>
      </c>
      <c r="O112" s="6">
        <v>122.595</v>
      </c>
      <c r="P112" s="6">
        <v>246</v>
      </c>
      <c r="Q112" s="4" t="s">
        <v>26</v>
      </c>
      <c r="R112" s="4">
        <v>0</v>
      </c>
      <c r="S112" s="4">
        <v>0</v>
      </c>
      <c r="T112" s="4">
        <v>74</v>
      </c>
      <c r="U112" s="4">
        <v>21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724.89</v>
      </c>
      <c r="X112" s="6">
        <f>IF(ISERROR(VLOOKUP($U$112,'TAR FIN'!$A$1:$O$85,15,0)),0,VLOOKUP($U$112,'TAR FIN'!$A$1:$O$85,15,0))</f>
        <v>177.53</v>
      </c>
      <c r="Y112" s="6"/>
      <c r="Z112" s="6">
        <f ca="1">('TUSD BE'!$AM$33+'TUSD BF'!$AM$33+'TUSD CVA'!$AM$33)*(1-CUSTOS!$M$38)</f>
        <v>983.68270772870949</v>
      </c>
      <c r="AA112" s="6">
        <f>('TE BE'!$AA$23+'TE BF'!$AA$23+'TE CVA'!$AA$23)*(1-CUSTOS!$M$38)</f>
        <v>212.24710244942861</v>
      </c>
      <c r="AB112" s="6">
        <f t="shared" si="10"/>
        <v>0</v>
      </c>
      <c r="AC112" s="6">
        <f>(L112-M112)*(W112+X112)+($W$26+$X$26-$W$112-$X$112)*(L112)</f>
        <v>15085.314750000005</v>
      </c>
      <c r="AD112" s="6">
        <f t="shared" si="11"/>
        <v>0</v>
      </c>
      <c r="AE112" s="6">
        <f ca="1">(L112-M112)*(Z112+AA112)+($Z$26+$AA$26-$Z$112-$AA$112)*(L112)</f>
        <v>9358.4052177950325</v>
      </c>
      <c r="AF112" s="4" t="s">
        <v>544</v>
      </c>
    </row>
    <row r="113" spans="1:32" ht="11.25" customHeight="1" x14ac:dyDescent="0.3">
      <c r="A113" s="4" t="s">
        <v>28</v>
      </c>
      <c r="B113" s="4" t="s">
        <v>40</v>
      </c>
      <c r="C113" s="4" t="s">
        <v>23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44621</v>
      </c>
      <c r="J113" s="6">
        <v>0</v>
      </c>
      <c r="K113" s="6">
        <v>0</v>
      </c>
      <c r="L113" s="6">
        <v>1.458</v>
      </c>
      <c r="M113" s="6">
        <v>1.458</v>
      </c>
      <c r="N113" s="6">
        <v>1.458</v>
      </c>
      <c r="O113" s="6">
        <v>1.458</v>
      </c>
      <c r="P113" s="6">
        <v>3</v>
      </c>
      <c r="Q113" s="4" t="s">
        <v>26</v>
      </c>
      <c r="R113" s="4">
        <v>0</v>
      </c>
      <c r="S113" s="4">
        <v>0</v>
      </c>
      <c r="T113" s="4">
        <v>74</v>
      </c>
      <c r="U113" s="4">
        <v>21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724.89</v>
      </c>
      <c r="X113" s="6">
        <f>IF(ISERROR(VLOOKUP($U$113,'TAR FIN'!$A$1:$O$85,15,0)),0,VLOOKUP($U$113,'TAR FIN'!$A$1:$O$85,15,0))</f>
        <v>177.53</v>
      </c>
      <c r="Y113" s="6"/>
      <c r="Z113" s="6">
        <f ca="1">('TUSD BE'!$AM$33+'TUSD BF'!$AM$33+'TUSD CVA'!$AM$33)*(1-CUSTOS!$M$38)</f>
        <v>983.68270772870949</v>
      </c>
      <c r="AA113" s="6">
        <f>('TE BE'!$AA$23+'TE BF'!$AA$23+'TE CVA'!$AA$23)*(1-CUSTOS!$M$38)</f>
        <v>212.24710244942861</v>
      </c>
      <c r="AB113" s="6">
        <f t="shared" si="10"/>
        <v>0</v>
      </c>
      <c r="AC113" s="6">
        <f>(L113-M113)*(W113+X113)+($W$26+$X$26-$W$113-$X$113)*(L113)</f>
        <v>179.40690000000006</v>
      </c>
      <c r="AD113" s="6">
        <f t="shared" si="11"/>
        <v>0</v>
      </c>
      <c r="AE113" s="6">
        <f ca="1">(L113-M113)*(Z113+AA113)+($Z$26+$AA$26-$Z$113-$AA$113)*(L113)</f>
        <v>111.29780829189735</v>
      </c>
      <c r="AF113" s="4" t="s">
        <v>544</v>
      </c>
    </row>
    <row r="114" spans="1:32" ht="11.25" customHeight="1" x14ac:dyDescent="0.3">
      <c r="A114" s="4" t="s">
        <v>21</v>
      </c>
      <c r="B114" s="4" t="s">
        <v>33</v>
      </c>
      <c r="C114" s="4" t="s">
        <v>23</v>
      </c>
      <c r="D114" s="4" t="s">
        <v>46</v>
      </c>
      <c r="E114" s="4" t="s">
        <v>47</v>
      </c>
      <c r="F114" s="4" t="s">
        <v>25</v>
      </c>
      <c r="G114" s="4" t="s">
        <v>25</v>
      </c>
      <c r="H114" s="4" t="s">
        <v>25</v>
      </c>
      <c r="I114" s="5">
        <v>44287</v>
      </c>
      <c r="J114" s="6">
        <v>0</v>
      </c>
      <c r="K114" s="70">
        <v>0</v>
      </c>
      <c r="L114" s="6">
        <v>7.5960000000000001</v>
      </c>
      <c r="M114" s="70">
        <v>7.5960000000000001</v>
      </c>
      <c r="N114" s="6">
        <v>7.5960000000000001</v>
      </c>
      <c r="O114" s="70">
        <v>7.5960000000000001</v>
      </c>
      <c r="P114" s="6">
        <v>3</v>
      </c>
      <c r="Q114" s="4" t="s">
        <v>26</v>
      </c>
      <c r="R114" s="4">
        <v>0</v>
      </c>
      <c r="S114" s="4">
        <v>0</v>
      </c>
      <c r="T114" s="4">
        <v>55</v>
      </c>
      <c r="U114" s="4">
        <v>6</v>
      </c>
      <c r="V114" s="70">
        <f>IF(ISERROR(VLOOKUP($S$114,'TAR FIN'!$A$1:$O$85,15,0)),0,VLOOKUP($S$114,'TAR FIN'!$A$1:$O$85,15,0))</f>
        <v>0</v>
      </c>
      <c r="W114" s="70">
        <f>IF(ISERROR(VLOOKUP($T$114,'TAR FIN'!$A$1:$O$85,15,0)),0,VLOOKUP($T$114,'TAR FIN'!$A$1:$O$85,15,0))*(1-0.06)</f>
        <v>774.31560000000002</v>
      </c>
      <c r="X114" s="70">
        <f>IF(ISERROR(VLOOKUP($U$114,'TAR FIN'!$A$1:$O$85,15,0)),0,VLOOKUP($U$114,'TAR FIN'!$A$1:$O$85,15,0))*(1-0.06)</f>
        <v>189.62619999999998</v>
      </c>
      <c r="Y114" s="70"/>
      <c r="Z114" s="70">
        <f ca="1">('TUSD BE'!$AM$48+'TUSD BF'!$AM$48+'TUSD CVA'!$AM$48)*1*(1-0.03)</f>
        <v>1015.0768366987746</v>
      </c>
      <c r="AA114" s="70">
        <f>('TE BE'!$AA$38+'TE BF'!$AA$38+'TE CVA'!$AA$38)*1*(1-0.03)</f>
        <v>219.02094614462317</v>
      </c>
      <c r="AB114" s="70">
        <f>(SUBSIDIO!$J$114*SUBSIDIO!$V$114)*(0.06)/(1-0.06)</f>
        <v>0</v>
      </c>
      <c r="AC114" s="70">
        <f>((SUBSIDIO!$L$114*SUBSIDIO!$W$114)+(SUBSIDIO!$N$114*SUBSIDIO!$X$114))*(0.06)/(1-0.06)</f>
        <v>467.36820720000003</v>
      </c>
      <c r="AD114" s="70">
        <f>(SUBSIDIO!$J$114*SUBSIDIO!$Y$114)*(0.03)/(1-0.03)</f>
        <v>0</v>
      </c>
      <c r="AE114" s="70">
        <f ca="1">((SUBSIDIO!$L$114*SUBSIDIO!$Z$114)+(SUBSIDIO!$N$114*SUBSIDIO!$AA$114))*(0.03)/(1-0.03)</f>
        <v>289.92392036531288</v>
      </c>
      <c r="AF114" s="4" t="s">
        <v>546</v>
      </c>
    </row>
    <row r="115" spans="1:32" ht="11.25" customHeight="1" x14ac:dyDescent="0.3">
      <c r="A115" s="4" t="s">
        <v>21</v>
      </c>
      <c r="B115" s="4" t="s">
        <v>33</v>
      </c>
      <c r="C115" s="4" t="s">
        <v>23</v>
      </c>
      <c r="D115" s="4" t="s">
        <v>46</v>
      </c>
      <c r="E115" s="4" t="s">
        <v>47</v>
      </c>
      <c r="F115" s="4" t="s">
        <v>25</v>
      </c>
      <c r="G115" s="4" t="s">
        <v>25</v>
      </c>
      <c r="H115" s="4" t="s">
        <v>25</v>
      </c>
      <c r="I115" s="5">
        <v>44317</v>
      </c>
      <c r="J115" s="6">
        <v>0</v>
      </c>
      <c r="K115" s="70">
        <v>0</v>
      </c>
      <c r="L115" s="6">
        <v>7.8360000000000003</v>
      </c>
      <c r="M115" s="70">
        <v>7.8360000000000003</v>
      </c>
      <c r="N115" s="6">
        <v>7.8360000000000003</v>
      </c>
      <c r="O115" s="70">
        <v>7.8360000000000003</v>
      </c>
      <c r="P115" s="6">
        <v>3</v>
      </c>
      <c r="Q115" s="4" t="s">
        <v>26</v>
      </c>
      <c r="R115" s="4">
        <v>0</v>
      </c>
      <c r="S115" s="4">
        <v>0</v>
      </c>
      <c r="T115" s="4">
        <v>55</v>
      </c>
      <c r="U115" s="4">
        <v>6</v>
      </c>
      <c r="V115" s="70">
        <f>IF(ISERROR(VLOOKUP($S$115,'TAR FIN'!$A$1:$O$85,15,0)),0,VLOOKUP($S$115,'TAR FIN'!$A$1:$O$85,15,0))</f>
        <v>0</v>
      </c>
      <c r="W115" s="70">
        <f>IF(ISERROR(VLOOKUP($T$115,'TAR FIN'!$A$1:$O$85,15,0)),0,VLOOKUP($T$115,'TAR FIN'!$A$1:$O$85,15,0))*(1-0.06)</f>
        <v>774.31560000000002</v>
      </c>
      <c r="X115" s="70">
        <f>IF(ISERROR(VLOOKUP($U$115,'TAR FIN'!$A$1:$O$85,15,0)),0,VLOOKUP($U$115,'TAR FIN'!$A$1:$O$85,15,0))*(1-0.06)</f>
        <v>189.62619999999998</v>
      </c>
      <c r="Y115" s="70"/>
      <c r="Z115" s="70">
        <f ca="1">('TUSD BE'!$AM$48+'TUSD BF'!$AM$48+'TUSD CVA'!$AM$48)*1*(1-0.03)</f>
        <v>1015.0768366987746</v>
      </c>
      <c r="AA115" s="70">
        <f>('TE BE'!$AA$38+'TE BF'!$AA$38+'TE CVA'!$AA$38)*1*(1-0.03)</f>
        <v>219.02094614462317</v>
      </c>
      <c r="AB115" s="70">
        <f>(SUBSIDIO!$J$115*SUBSIDIO!$V$115)*(0.06)/(1-0.06)</f>
        <v>0</v>
      </c>
      <c r="AC115" s="70">
        <f>((SUBSIDIO!$L$115*SUBSIDIO!$W$115)+(SUBSIDIO!$N$115*SUBSIDIO!$X$115))*(0.06)/(1-0.06)</f>
        <v>482.13497520000004</v>
      </c>
      <c r="AD115" s="70">
        <f>(SUBSIDIO!$J$115*SUBSIDIO!$Y$115)*(0.03)/(1-0.03)</f>
        <v>0</v>
      </c>
      <c r="AE115" s="70">
        <f ca="1">((SUBSIDIO!$L$115*SUBSIDIO!$Z$115)+(SUBSIDIO!$N$115*SUBSIDIO!$AA$115))*(0.03)/(1-0.03)</f>
        <v>299.08423380497521</v>
      </c>
      <c r="AF115" s="4" t="s">
        <v>546</v>
      </c>
    </row>
    <row r="116" spans="1:32" ht="11.25" customHeight="1" x14ac:dyDescent="0.3">
      <c r="A116" s="4" t="s">
        <v>21</v>
      </c>
      <c r="B116" s="4" t="s">
        <v>33</v>
      </c>
      <c r="C116" s="4" t="s">
        <v>23</v>
      </c>
      <c r="D116" s="4" t="s">
        <v>46</v>
      </c>
      <c r="E116" s="4" t="s">
        <v>47</v>
      </c>
      <c r="F116" s="4" t="s">
        <v>25</v>
      </c>
      <c r="G116" s="4" t="s">
        <v>25</v>
      </c>
      <c r="H116" s="4" t="s">
        <v>25</v>
      </c>
      <c r="I116" s="5">
        <v>44348</v>
      </c>
      <c r="J116" s="6">
        <v>0</v>
      </c>
      <c r="K116" s="70">
        <v>0</v>
      </c>
      <c r="L116" s="6">
        <v>8.2249999999999996</v>
      </c>
      <c r="M116" s="70">
        <v>8.2249999999999996</v>
      </c>
      <c r="N116" s="6">
        <v>8.2249999999999996</v>
      </c>
      <c r="O116" s="70">
        <v>8.2249999999999996</v>
      </c>
      <c r="P116" s="6">
        <v>3</v>
      </c>
      <c r="Q116" s="4" t="s">
        <v>26</v>
      </c>
      <c r="R116" s="4">
        <v>0</v>
      </c>
      <c r="S116" s="4">
        <v>0</v>
      </c>
      <c r="T116" s="4">
        <v>55</v>
      </c>
      <c r="U116" s="4">
        <v>6</v>
      </c>
      <c r="V116" s="70">
        <f>IF(ISERROR(VLOOKUP($S$116,'TAR FIN'!$A$1:$O$85,15,0)),0,VLOOKUP($S$116,'TAR FIN'!$A$1:$O$85,15,0))</f>
        <v>0</v>
      </c>
      <c r="W116" s="70">
        <f>IF(ISERROR(VLOOKUP($T$116,'TAR FIN'!$A$1:$O$85,15,0)),0,VLOOKUP($T$116,'TAR FIN'!$A$1:$O$85,15,0))*(1-0.06)</f>
        <v>774.31560000000002</v>
      </c>
      <c r="X116" s="70">
        <f>IF(ISERROR(VLOOKUP($U$116,'TAR FIN'!$A$1:$O$85,15,0)),0,VLOOKUP($U$116,'TAR FIN'!$A$1:$O$85,15,0))*(1-0.06)</f>
        <v>189.62619999999998</v>
      </c>
      <c r="Y116" s="70"/>
      <c r="Z116" s="70">
        <f ca="1">('TUSD BE'!$AM$48+'TUSD BF'!$AM$48+'TUSD CVA'!$AM$48)*1*(1-0.03)</f>
        <v>1015.0768366987746</v>
      </c>
      <c r="AA116" s="70">
        <f>('TE BE'!$AA$38+'TE BF'!$AA$38+'TE CVA'!$AA$38)*1*(1-0.03)</f>
        <v>219.02094614462317</v>
      </c>
      <c r="AB116" s="70">
        <f>(SUBSIDIO!$J$116*SUBSIDIO!$V$116)*(0.06)/(1-0.06)</f>
        <v>0</v>
      </c>
      <c r="AC116" s="70">
        <f>((SUBSIDIO!$L$116*SUBSIDIO!$W$116)+(SUBSIDIO!$N$116*SUBSIDIO!$X$116))*(0.06)/(1-0.06)</f>
        <v>506.06944499999992</v>
      </c>
      <c r="AD116" s="70">
        <f>(SUBSIDIO!$J$116*SUBSIDIO!$Y$116)*(0.03)/(1-0.03)</f>
        <v>0</v>
      </c>
      <c r="AE116" s="70">
        <f ca="1">((SUBSIDIO!$L$116*SUBSIDIO!$Z$116)+(SUBSIDIO!$N$116*SUBSIDIO!$AA$116))*(0.03)/(1-0.03)</f>
        <v>313.93157517176121</v>
      </c>
      <c r="AF116" s="4" t="s">
        <v>546</v>
      </c>
    </row>
    <row r="117" spans="1:32" ht="11.25" customHeight="1" x14ac:dyDescent="0.3">
      <c r="A117" s="4" t="s">
        <v>21</v>
      </c>
      <c r="B117" s="4" t="s">
        <v>33</v>
      </c>
      <c r="C117" s="4" t="s">
        <v>23</v>
      </c>
      <c r="D117" s="4" t="s">
        <v>46</v>
      </c>
      <c r="E117" s="4" t="s">
        <v>47</v>
      </c>
      <c r="F117" s="4" t="s">
        <v>25</v>
      </c>
      <c r="G117" s="4" t="s">
        <v>25</v>
      </c>
      <c r="H117" s="4" t="s">
        <v>25</v>
      </c>
      <c r="I117" s="5">
        <v>44378</v>
      </c>
      <c r="J117" s="6">
        <v>0</v>
      </c>
      <c r="K117" s="70">
        <v>0</v>
      </c>
      <c r="L117" s="6">
        <v>8.1340000000000003</v>
      </c>
      <c r="M117" s="70">
        <v>8.1340000000000003</v>
      </c>
      <c r="N117" s="6">
        <v>8.1340000000000003</v>
      </c>
      <c r="O117" s="70">
        <v>8.1340000000000003</v>
      </c>
      <c r="P117" s="6">
        <v>3</v>
      </c>
      <c r="Q117" s="4" t="s">
        <v>26</v>
      </c>
      <c r="R117" s="4">
        <v>0</v>
      </c>
      <c r="S117" s="4">
        <v>0</v>
      </c>
      <c r="T117" s="4">
        <v>55</v>
      </c>
      <c r="U117" s="4">
        <v>6</v>
      </c>
      <c r="V117" s="70">
        <f>IF(ISERROR(VLOOKUP($S$117,'TAR FIN'!$A$1:$O$85,15,0)),0,VLOOKUP($S$117,'TAR FIN'!$A$1:$O$85,15,0))</f>
        <v>0</v>
      </c>
      <c r="W117" s="70">
        <f>IF(ISERROR(VLOOKUP($T$117,'TAR FIN'!$A$1:$O$85,15,0)),0,VLOOKUP($T$117,'TAR FIN'!$A$1:$O$85,15,0))*(1-0.06)</f>
        <v>774.31560000000002</v>
      </c>
      <c r="X117" s="70">
        <f>IF(ISERROR(VLOOKUP($U$117,'TAR FIN'!$A$1:$O$85,15,0)),0,VLOOKUP($U$117,'TAR FIN'!$A$1:$O$85,15,0))*(1-0.06)</f>
        <v>189.62619999999998</v>
      </c>
      <c r="Y117" s="70"/>
      <c r="Z117" s="70">
        <f ca="1">('TUSD BE'!$AM$48+'TUSD BF'!$AM$48+'TUSD CVA'!$AM$48)*1*(1-0.03)</f>
        <v>1015.0768366987746</v>
      </c>
      <c r="AA117" s="70">
        <f>('TE BE'!$AA$38+'TE BF'!$AA$38+'TE CVA'!$AA$38)*1*(1-0.03)</f>
        <v>219.02094614462317</v>
      </c>
      <c r="AB117" s="70">
        <f>(SUBSIDIO!$J$117*SUBSIDIO!$V$117)*(0.06)/(1-0.06)</f>
        <v>0</v>
      </c>
      <c r="AC117" s="70">
        <f>((SUBSIDIO!$L$117*SUBSIDIO!$W$117)+(SUBSIDIO!$N$117*SUBSIDIO!$X$117))*(0.06)/(1-0.06)</f>
        <v>500.47037879999999</v>
      </c>
      <c r="AD117" s="70">
        <f>(SUBSIDIO!$J$117*SUBSIDIO!$Y$117)*(0.03)/(1-0.03)</f>
        <v>0</v>
      </c>
      <c r="AE117" s="70">
        <f ca="1">((SUBSIDIO!$L$117*SUBSIDIO!$Z$117)+(SUBSIDIO!$N$117*SUBSIDIO!$AA$117))*(0.03)/(1-0.03)</f>
        <v>310.4582896592226</v>
      </c>
      <c r="AF117" s="4" t="s">
        <v>546</v>
      </c>
    </row>
    <row r="118" spans="1:32" ht="11.25" customHeight="1" x14ac:dyDescent="0.3">
      <c r="A118" s="4" t="s">
        <v>21</v>
      </c>
      <c r="B118" s="4" t="s">
        <v>33</v>
      </c>
      <c r="C118" s="4" t="s">
        <v>23</v>
      </c>
      <c r="D118" s="4" t="s">
        <v>46</v>
      </c>
      <c r="E118" s="4" t="s">
        <v>47</v>
      </c>
      <c r="F118" s="4" t="s">
        <v>25</v>
      </c>
      <c r="G118" s="4" t="s">
        <v>25</v>
      </c>
      <c r="H118" s="4" t="s">
        <v>25</v>
      </c>
      <c r="I118" s="5">
        <v>44409</v>
      </c>
      <c r="J118" s="6">
        <v>0</v>
      </c>
      <c r="K118" s="70">
        <v>0</v>
      </c>
      <c r="L118" s="6">
        <v>9.1270000000000007</v>
      </c>
      <c r="M118" s="70">
        <v>9.1270000000000007</v>
      </c>
      <c r="N118" s="6">
        <v>9.1270000000000007</v>
      </c>
      <c r="O118" s="70">
        <v>9.1270000000000007</v>
      </c>
      <c r="P118" s="6">
        <v>3</v>
      </c>
      <c r="Q118" s="4" t="s">
        <v>26</v>
      </c>
      <c r="R118" s="4">
        <v>0</v>
      </c>
      <c r="S118" s="4">
        <v>0</v>
      </c>
      <c r="T118" s="4">
        <v>55</v>
      </c>
      <c r="U118" s="4">
        <v>6</v>
      </c>
      <c r="V118" s="70">
        <f>IF(ISERROR(VLOOKUP($S$118,'TAR FIN'!$A$1:$O$85,15,0)),0,VLOOKUP($S$118,'TAR FIN'!$A$1:$O$85,15,0))</f>
        <v>0</v>
      </c>
      <c r="W118" s="70">
        <f>IF(ISERROR(VLOOKUP($T$118,'TAR FIN'!$A$1:$O$85,15,0)),0,VLOOKUP($T$118,'TAR FIN'!$A$1:$O$85,15,0))*(1-0.06)</f>
        <v>774.31560000000002</v>
      </c>
      <c r="X118" s="70">
        <f>IF(ISERROR(VLOOKUP($U$118,'TAR FIN'!$A$1:$O$85,15,0)),0,VLOOKUP($U$118,'TAR FIN'!$A$1:$O$85,15,0))*(1-0.06)</f>
        <v>189.62619999999998</v>
      </c>
      <c r="Y118" s="70"/>
      <c r="Z118" s="70">
        <f ca="1">('TUSD BE'!$AM$48+'TUSD BF'!$AM$48+'TUSD CVA'!$AM$48)*1*(1-0.03)</f>
        <v>1015.0768366987746</v>
      </c>
      <c r="AA118" s="70">
        <f>('TE BE'!$AA$38+'TE BF'!$AA$38+'TE CVA'!$AA$38)*1*(1-0.03)</f>
        <v>219.02094614462317</v>
      </c>
      <c r="AB118" s="70">
        <f>(SUBSIDIO!$J$118*SUBSIDIO!$V$118)*(0.06)/(1-0.06)</f>
        <v>0</v>
      </c>
      <c r="AC118" s="70">
        <f>((SUBSIDIO!$L$118*SUBSIDIO!$W$118)+(SUBSIDIO!$N$118*SUBSIDIO!$X$118))*(0.06)/(1-0.06)</f>
        <v>561.56788140000003</v>
      </c>
      <c r="AD118" s="70">
        <f>(SUBSIDIO!$J$118*SUBSIDIO!$Y$118)*(0.03)/(1-0.03)</f>
        <v>0</v>
      </c>
      <c r="AE118" s="70">
        <f ca="1">((SUBSIDIO!$L$118*SUBSIDIO!$Z$118)+(SUBSIDIO!$N$118*SUBSIDIO!$AA$118))*(0.03)/(1-0.03)</f>
        <v>348.35908651582554</v>
      </c>
      <c r="AF118" s="4" t="s">
        <v>546</v>
      </c>
    </row>
    <row r="119" spans="1:32" ht="11.25" customHeight="1" x14ac:dyDescent="0.3">
      <c r="A119" s="4" t="s">
        <v>21</v>
      </c>
      <c r="B119" s="4" t="s">
        <v>33</v>
      </c>
      <c r="C119" s="4" t="s">
        <v>23</v>
      </c>
      <c r="D119" s="4" t="s">
        <v>46</v>
      </c>
      <c r="E119" s="4" t="s">
        <v>47</v>
      </c>
      <c r="F119" s="4" t="s">
        <v>25</v>
      </c>
      <c r="G119" s="4" t="s">
        <v>25</v>
      </c>
      <c r="H119" s="4" t="s">
        <v>25</v>
      </c>
      <c r="I119" s="5">
        <v>44440</v>
      </c>
      <c r="J119" s="6">
        <v>0</v>
      </c>
      <c r="K119" s="70">
        <v>0</v>
      </c>
      <c r="L119" s="6">
        <v>8.516</v>
      </c>
      <c r="M119" s="70">
        <v>8.516</v>
      </c>
      <c r="N119" s="6">
        <v>8.516</v>
      </c>
      <c r="O119" s="70">
        <v>8.516</v>
      </c>
      <c r="P119" s="6">
        <v>3</v>
      </c>
      <c r="Q119" s="4" t="s">
        <v>26</v>
      </c>
      <c r="R119" s="4">
        <v>0</v>
      </c>
      <c r="S119" s="4">
        <v>0</v>
      </c>
      <c r="T119" s="4">
        <v>55</v>
      </c>
      <c r="U119" s="4">
        <v>6</v>
      </c>
      <c r="V119" s="70">
        <f>IF(ISERROR(VLOOKUP($S$119,'TAR FIN'!$A$1:$O$85,15,0)),0,VLOOKUP($S$119,'TAR FIN'!$A$1:$O$85,15,0))</f>
        <v>0</v>
      </c>
      <c r="W119" s="70">
        <f>IF(ISERROR(VLOOKUP($T$119,'TAR FIN'!$A$1:$O$85,15,0)),0,VLOOKUP($T$119,'TAR FIN'!$A$1:$O$85,15,0))*(1-0.06)</f>
        <v>774.31560000000002</v>
      </c>
      <c r="X119" s="70">
        <f>IF(ISERROR(VLOOKUP($U$119,'TAR FIN'!$A$1:$O$85,15,0)),0,VLOOKUP($U$119,'TAR FIN'!$A$1:$O$85,15,0))*(1-0.06)</f>
        <v>189.62619999999998</v>
      </c>
      <c r="Y119" s="70"/>
      <c r="Z119" s="70">
        <f ca="1">('TUSD BE'!$AM$48+'TUSD BF'!$AM$48+'TUSD CVA'!$AM$48)*1*(1-0.03)</f>
        <v>1015.0768366987746</v>
      </c>
      <c r="AA119" s="70">
        <f>('TE BE'!$AA$38+'TE BF'!$AA$38+'TE CVA'!$AA$38)*1*(1-0.03)</f>
        <v>219.02094614462317</v>
      </c>
      <c r="AB119" s="70">
        <f>(SUBSIDIO!$J$119*SUBSIDIO!$V$119)*(0.06)/(1-0.06)</f>
        <v>0</v>
      </c>
      <c r="AC119" s="70">
        <f>((SUBSIDIO!$L$119*SUBSIDIO!$W$119)+(SUBSIDIO!$N$119*SUBSIDIO!$X$119))*(0.06)/(1-0.06)</f>
        <v>523.97415120000005</v>
      </c>
      <c r="AD119" s="70">
        <f>(SUBSIDIO!$J$119*SUBSIDIO!$Y$119)*(0.03)/(1-0.03)</f>
        <v>0</v>
      </c>
      <c r="AE119" s="70">
        <f ca="1">((SUBSIDIO!$L$119*SUBSIDIO!$Z$119)+(SUBSIDIO!$N$119*SUBSIDIO!$AA$119))*(0.03)/(1-0.03)</f>
        <v>325.03845521735184</v>
      </c>
      <c r="AF119" s="4" t="s">
        <v>546</v>
      </c>
    </row>
    <row r="120" spans="1:32" ht="11.25" customHeight="1" x14ac:dyDescent="0.3">
      <c r="A120" s="4" t="s">
        <v>21</v>
      </c>
      <c r="B120" s="4" t="s">
        <v>33</v>
      </c>
      <c r="C120" s="4" t="s">
        <v>23</v>
      </c>
      <c r="D120" s="4" t="s">
        <v>46</v>
      </c>
      <c r="E120" s="4" t="s">
        <v>47</v>
      </c>
      <c r="F120" s="4" t="s">
        <v>25</v>
      </c>
      <c r="G120" s="4" t="s">
        <v>25</v>
      </c>
      <c r="H120" s="4" t="s">
        <v>25</v>
      </c>
      <c r="I120" s="5">
        <v>44470</v>
      </c>
      <c r="J120" s="6">
        <v>0</v>
      </c>
      <c r="K120" s="70">
        <v>0</v>
      </c>
      <c r="L120" s="6">
        <v>8.0039999999999996</v>
      </c>
      <c r="M120" s="70">
        <v>8.0039999999999996</v>
      </c>
      <c r="N120" s="6">
        <v>8.0039999999999996</v>
      </c>
      <c r="O120" s="70">
        <v>8.0039999999999996</v>
      </c>
      <c r="P120" s="6">
        <v>3</v>
      </c>
      <c r="Q120" s="4" t="s">
        <v>26</v>
      </c>
      <c r="R120" s="4">
        <v>0</v>
      </c>
      <c r="S120" s="4">
        <v>0</v>
      </c>
      <c r="T120" s="4">
        <v>55</v>
      </c>
      <c r="U120" s="4">
        <v>6</v>
      </c>
      <c r="V120" s="70">
        <f>IF(ISERROR(VLOOKUP($S$120,'TAR FIN'!$A$1:$O$85,15,0)),0,VLOOKUP($S$120,'TAR FIN'!$A$1:$O$85,15,0))</f>
        <v>0</v>
      </c>
      <c r="W120" s="70">
        <f>IF(ISERROR(VLOOKUP($T$120,'TAR FIN'!$A$1:$O$85,15,0)),0,VLOOKUP($T$120,'TAR FIN'!$A$1:$O$85,15,0))*(1-0.06)</f>
        <v>774.31560000000002</v>
      </c>
      <c r="X120" s="70">
        <f>IF(ISERROR(VLOOKUP($U$120,'TAR FIN'!$A$1:$O$85,15,0)),0,VLOOKUP($U$120,'TAR FIN'!$A$1:$O$85,15,0))*(1-0.06)</f>
        <v>189.62619999999998</v>
      </c>
      <c r="Y120" s="70"/>
      <c r="Z120" s="70">
        <f ca="1">('TUSD BE'!$AM$48+'TUSD BF'!$AM$48+'TUSD CVA'!$AM$48)*1*(1-0.03)</f>
        <v>1015.0768366987746</v>
      </c>
      <c r="AA120" s="70">
        <f>('TE BE'!$AA$38+'TE BF'!$AA$38+'TE CVA'!$AA$38)*1*(1-0.03)</f>
        <v>219.02094614462317</v>
      </c>
      <c r="AB120" s="70">
        <f>(SUBSIDIO!$J$120*SUBSIDIO!$V$120)*(0.06)/(1-0.06)</f>
        <v>0</v>
      </c>
      <c r="AC120" s="70">
        <f>((SUBSIDIO!$L$120*SUBSIDIO!$W$120)+(SUBSIDIO!$N$120*SUBSIDIO!$X$120))*(0.06)/(1-0.06)</f>
        <v>492.47171279999998</v>
      </c>
      <c r="AD120" s="70">
        <f>(SUBSIDIO!$J$120*SUBSIDIO!$Y$120)*(0.03)/(1-0.03)</f>
        <v>0</v>
      </c>
      <c r="AE120" s="70">
        <f ca="1">((SUBSIDIO!$L$120*SUBSIDIO!$Z$120)+(SUBSIDIO!$N$120*SUBSIDIO!$AA$120))*(0.03)/(1-0.03)</f>
        <v>305.4964532127388</v>
      </c>
      <c r="AF120" s="4" t="s">
        <v>546</v>
      </c>
    </row>
    <row r="121" spans="1:32" ht="11.25" customHeight="1" x14ac:dyDescent="0.3">
      <c r="A121" s="4" t="s">
        <v>21</v>
      </c>
      <c r="B121" s="4" t="s">
        <v>33</v>
      </c>
      <c r="C121" s="4" t="s">
        <v>23</v>
      </c>
      <c r="D121" s="4" t="s">
        <v>46</v>
      </c>
      <c r="E121" s="4" t="s">
        <v>47</v>
      </c>
      <c r="F121" s="4" t="s">
        <v>25</v>
      </c>
      <c r="G121" s="4" t="s">
        <v>25</v>
      </c>
      <c r="H121" s="4" t="s">
        <v>25</v>
      </c>
      <c r="I121" s="5">
        <v>44501</v>
      </c>
      <c r="J121" s="6">
        <v>0</v>
      </c>
      <c r="K121" s="70">
        <v>0</v>
      </c>
      <c r="L121" s="6">
        <v>6.9169999999999998</v>
      </c>
      <c r="M121" s="70">
        <v>6.9169999999999998</v>
      </c>
      <c r="N121" s="6">
        <v>6.9169999999999998</v>
      </c>
      <c r="O121" s="70">
        <v>6.9169999999999998</v>
      </c>
      <c r="P121" s="6">
        <v>3</v>
      </c>
      <c r="Q121" s="4" t="s">
        <v>26</v>
      </c>
      <c r="R121" s="4">
        <v>0</v>
      </c>
      <c r="S121" s="4">
        <v>0</v>
      </c>
      <c r="T121" s="4">
        <v>55</v>
      </c>
      <c r="U121" s="4">
        <v>6</v>
      </c>
      <c r="V121" s="70">
        <f>IF(ISERROR(VLOOKUP($S$121,'TAR FIN'!$A$1:$O$85,15,0)),0,VLOOKUP($S$121,'TAR FIN'!$A$1:$O$85,15,0))</f>
        <v>0</v>
      </c>
      <c r="W121" s="70">
        <f>IF(ISERROR(VLOOKUP($T$121,'TAR FIN'!$A$1:$O$85,15,0)),0,VLOOKUP($T$121,'TAR FIN'!$A$1:$O$85,15,0))*(1-0.06)</f>
        <v>774.31560000000002</v>
      </c>
      <c r="X121" s="70">
        <f>IF(ISERROR(VLOOKUP($U$121,'TAR FIN'!$A$1:$O$85,15,0)),0,VLOOKUP($U$121,'TAR FIN'!$A$1:$O$85,15,0))*(1-0.06)</f>
        <v>189.62619999999998</v>
      </c>
      <c r="Y121" s="70"/>
      <c r="Z121" s="70">
        <f ca="1">('TUSD BE'!$AM$48+'TUSD BF'!$AM$48+'TUSD CVA'!$AM$48)*1*(1-0.03)</f>
        <v>1015.0768366987746</v>
      </c>
      <c r="AA121" s="70">
        <f>('TE BE'!$AA$38+'TE BF'!$AA$38+'TE CVA'!$AA$38)*1*(1-0.03)</f>
        <v>219.02094614462317</v>
      </c>
      <c r="AB121" s="70">
        <f>(SUBSIDIO!$J$121*SUBSIDIO!$V$121)*(0.06)/(1-0.06)</f>
        <v>0</v>
      </c>
      <c r="AC121" s="70">
        <f>((SUBSIDIO!$L$121*SUBSIDIO!$W$121)+(SUBSIDIO!$N$121*SUBSIDIO!$X$121))*(0.06)/(1-0.06)</f>
        <v>425.59055940000002</v>
      </c>
      <c r="AD121" s="70">
        <f>(SUBSIDIO!$J$121*SUBSIDIO!$Y$121)*(0.03)/(1-0.03)</f>
        <v>0</v>
      </c>
      <c r="AE121" s="70">
        <f ca="1">((SUBSIDIO!$L$121*SUBSIDIO!$Z$121)+(SUBSIDIO!$N$121*SUBSIDIO!$AA$121))*(0.03)/(1-0.03)</f>
        <v>264.00786692560149</v>
      </c>
      <c r="AF121" s="4" t="s">
        <v>546</v>
      </c>
    </row>
    <row r="122" spans="1:32" ht="11.25" customHeight="1" x14ac:dyDescent="0.3">
      <c r="A122" s="4" t="s">
        <v>21</v>
      </c>
      <c r="B122" s="4" t="s">
        <v>33</v>
      </c>
      <c r="C122" s="4" t="s">
        <v>23</v>
      </c>
      <c r="D122" s="4" t="s">
        <v>46</v>
      </c>
      <c r="E122" s="4" t="s">
        <v>47</v>
      </c>
      <c r="F122" s="4" t="s">
        <v>25</v>
      </c>
      <c r="G122" s="4" t="s">
        <v>25</v>
      </c>
      <c r="H122" s="4" t="s">
        <v>25</v>
      </c>
      <c r="I122" s="5">
        <v>44531</v>
      </c>
      <c r="J122" s="6">
        <v>0</v>
      </c>
      <c r="K122" s="70">
        <v>0</v>
      </c>
      <c r="L122" s="6">
        <v>6.3120000000000003</v>
      </c>
      <c r="M122" s="70">
        <v>6.3120000000000003</v>
      </c>
      <c r="N122" s="6">
        <v>6.3120000000000003</v>
      </c>
      <c r="O122" s="70">
        <v>6.3120000000000003</v>
      </c>
      <c r="P122" s="6">
        <v>3</v>
      </c>
      <c r="Q122" s="4" t="s">
        <v>26</v>
      </c>
      <c r="R122" s="4">
        <v>0</v>
      </c>
      <c r="S122" s="4">
        <v>0</v>
      </c>
      <c r="T122" s="4">
        <v>55</v>
      </c>
      <c r="U122" s="4">
        <v>6</v>
      </c>
      <c r="V122" s="70">
        <f>IF(ISERROR(VLOOKUP($S$122,'TAR FIN'!$A$1:$O$85,15,0)),0,VLOOKUP($S$122,'TAR FIN'!$A$1:$O$85,15,0))</f>
        <v>0</v>
      </c>
      <c r="W122" s="70">
        <f>IF(ISERROR(VLOOKUP($T$122,'TAR FIN'!$A$1:$O$85,15,0)),0,VLOOKUP($T$122,'TAR FIN'!$A$1:$O$85,15,0))*(1-0.06)</f>
        <v>774.31560000000002</v>
      </c>
      <c r="X122" s="70">
        <f>IF(ISERROR(VLOOKUP($U$122,'TAR FIN'!$A$1:$O$85,15,0)),0,VLOOKUP($U$122,'TAR FIN'!$A$1:$O$85,15,0))*(1-0.06)</f>
        <v>189.62619999999998</v>
      </c>
      <c r="Y122" s="70"/>
      <c r="Z122" s="70">
        <f ca="1">('TUSD BE'!$AM$48+'TUSD BF'!$AM$48+'TUSD CVA'!$AM$48)*1*(1-0.03)</f>
        <v>1015.0768366987746</v>
      </c>
      <c r="AA122" s="70">
        <f>('TE BE'!$AA$38+'TE BF'!$AA$38+'TE CVA'!$AA$38)*1*(1-0.03)</f>
        <v>219.02094614462317</v>
      </c>
      <c r="AB122" s="70">
        <f>(SUBSIDIO!$J$122*SUBSIDIO!$V$122)*(0.06)/(1-0.06)</f>
        <v>0</v>
      </c>
      <c r="AC122" s="70">
        <f>((SUBSIDIO!$L$122*SUBSIDIO!$W$122)+(SUBSIDIO!$N$122*SUBSIDIO!$X$122))*(0.06)/(1-0.06)</f>
        <v>388.36599840000002</v>
      </c>
      <c r="AD122" s="70">
        <f>(SUBSIDIO!$J$122*SUBSIDIO!$Y$122)*(0.03)/(1-0.03)</f>
        <v>0</v>
      </c>
      <c r="AE122" s="70">
        <f ca="1">((SUBSIDIO!$L$122*SUBSIDIO!$Z$122)+(SUBSIDIO!$N$122*SUBSIDIO!$AA$122))*(0.03)/(1-0.03)</f>
        <v>240.91624346311937</v>
      </c>
      <c r="AF122" s="4" t="s">
        <v>546</v>
      </c>
    </row>
    <row r="123" spans="1:32" ht="11.25" customHeight="1" x14ac:dyDescent="0.3">
      <c r="A123" s="4" t="s">
        <v>21</v>
      </c>
      <c r="B123" s="4" t="s">
        <v>33</v>
      </c>
      <c r="C123" s="4" t="s">
        <v>23</v>
      </c>
      <c r="D123" s="4" t="s">
        <v>46</v>
      </c>
      <c r="E123" s="4" t="s">
        <v>47</v>
      </c>
      <c r="F123" s="4" t="s">
        <v>25</v>
      </c>
      <c r="G123" s="4" t="s">
        <v>25</v>
      </c>
      <c r="H123" s="4" t="s">
        <v>25</v>
      </c>
      <c r="I123" s="5">
        <v>44562</v>
      </c>
      <c r="J123" s="6">
        <v>0</v>
      </c>
      <c r="K123" s="70">
        <v>0</v>
      </c>
      <c r="L123" s="6">
        <v>7.1479999999999997</v>
      </c>
      <c r="M123" s="70">
        <v>7.1479999999999997</v>
      </c>
      <c r="N123" s="6">
        <v>7.1479999999999997</v>
      </c>
      <c r="O123" s="70">
        <v>7.1479999999999997</v>
      </c>
      <c r="P123" s="6">
        <v>3</v>
      </c>
      <c r="Q123" s="4" t="s">
        <v>26</v>
      </c>
      <c r="R123" s="4">
        <v>0</v>
      </c>
      <c r="S123" s="4">
        <v>0</v>
      </c>
      <c r="T123" s="4">
        <v>55</v>
      </c>
      <c r="U123" s="4">
        <v>6</v>
      </c>
      <c r="V123" s="70">
        <f>IF(ISERROR(VLOOKUP($S$123,'TAR FIN'!$A$1:$O$85,15,0)),0,VLOOKUP($S$123,'TAR FIN'!$A$1:$O$85,15,0))</f>
        <v>0</v>
      </c>
      <c r="W123" s="70">
        <f>IF(ISERROR(VLOOKUP($T$123,'TAR FIN'!$A$1:$O$85,15,0)),0,VLOOKUP($T$123,'TAR FIN'!$A$1:$O$85,15,0))*(1-0.06)</f>
        <v>774.31560000000002</v>
      </c>
      <c r="X123" s="70">
        <f>IF(ISERROR(VLOOKUP($U$123,'TAR FIN'!$A$1:$O$85,15,0)),0,VLOOKUP($U$123,'TAR FIN'!$A$1:$O$85,15,0))*(1-0.06)</f>
        <v>189.62619999999998</v>
      </c>
      <c r="Y123" s="70"/>
      <c r="Z123" s="70">
        <f ca="1">('TUSD BE'!$AM$48+'TUSD BF'!$AM$48+'TUSD CVA'!$AM$48)*1*(1-0.03)</f>
        <v>1015.0768366987746</v>
      </c>
      <c r="AA123" s="70">
        <f>('TE BE'!$AA$38+'TE BF'!$AA$38+'TE CVA'!$AA$38)*1*(1-0.03)</f>
        <v>219.02094614462317</v>
      </c>
      <c r="AB123" s="70">
        <f>(SUBSIDIO!$J$123*SUBSIDIO!$V$123)*(0.06)/(1-0.06)</f>
        <v>0</v>
      </c>
      <c r="AC123" s="70">
        <f>((SUBSIDIO!$L$123*SUBSIDIO!$W$123)+(SUBSIDIO!$N$123*SUBSIDIO!$X$123))*(0.06)/(1-0.06)</f>
        <v>439.80357359999999</v>
      </c>
      <c r="AD123" s="70">
        <f>(SUBSIDIO!$J$123*SUBSIDIO!$Y$123)*(0.03)/(1-0.03)</f>
        <v>0</v>
      </c>
      <c r="AE123" s="70">
        <f ca="1">((SUBSIDIO!$L$123*SUBSIDIO!$Z$123)+(SUBSIDIO!$N$123*SUBSIDIO!$AA$123))*(0.03)/(1-0.03)</f>
        <v>272.82466861127654</v>
      </c>
      <c r="AF123" s="4" t="s">
        <v>546</v>
      </c>
    </row>
    <row r="124" spans="1:32" ht="11.25" customHeight="1" x14ac:dyDescent="0.3">
      <c r="A124" s="4" t="s">
        <v>21</v>
      </c>
      <c r="B124" s="4" t="s">
        <v>33</v>
      </c>
      <c r="C124" s="4" t="s">
        <v>23</v>
      </c>
      <c r="D124" s="4" t="s">
        <v>46</v>
      </c>
      <c r="E124" s="4" t="s">
        <v>47</v>
      </c>
      <c r="F124" s="4" t="s">
        <v>25</v>
      </c>
      <c r="G124" s="4" t="s">
        <v>25</v>
      </c>
      <c r="H124" s="4" t="s">
        <v>25</v>
      </c>
      <c r="I124" s="5">
        <v>44593</v>
      </c>
      <c r="J124" s="6">
        <v>0</v>
      </c>
      <c r="K124" s="70">
        <v>0</v>
      </c>
      <c r="L124" s="6">
        <v>6.2770000000000001</v>
      </c>
      <c r="M124" s="70">
        <v>6.2770000000000001</v>
      </c>
      <c r="N124" s="6">
        <v>6.2770000000000001</v>
      </c>
      <c r="O124" s="70">
        <v>6.2770000000000001</v>
      </c>
      <c r="P124" s="6">
        <v>3</v>
      </c>
      <c r="Q124" s="4" t="s">
        <v>26</v>
      </c>
      <c r="R124" s="4">
        <v>0</v>
      </c>
      <c r="S124" s="4">
        <v>0</v>
      </c>
      <c r="T124" s="4">
        <v>55</v>
      </c>
      <c r="U124" s="4">
        <v>6</v>
      </c>
      <c r="V124" s="70">
        <f>IF(ISERROR(VLOOKUP($S$124,'TAR FIN'!$A$1:$O$85,15,0)),0,VLOOKUP($S$124,'TAR FIN'!$A$1:$O$85,15,0))</f>
        <v>0</v>
      </c>
      <c r="W124" s="70">
        <f>IF(ISERROR(VLOOKUP($T$124,'TAR FIN'!$A$1:$O$85,15,0)),0,VLOOKUP($T$124,'TAR FIN'!$A$1:$O$85,15,0))*(1-0.06)</f>
        <v>774.31560000000002</v>
      </c>
      <c r="X124" s="70">
        <f>IF(ISERROR(VLOOKUP($U$124,'TAR FIN'!$A$1:$O$85,15,0)),0,VLOOKUP($U$124,'TAR FIN'!$A$1:$O$85,15,0))*(1-0.06)</f>
        <v>189.62619999999998</v>
      </c>
      <c r="Y124" s="70"/>
      <c r="Z124" s="70">
        <f ca="1">('TUSD BE'!$AM$48+'TUSD BF'!$AM$48+'TUSD CVA'!$AM$48)*1*(1-0.03)</f>
        <v>1015.0768366987746</v>
      </c>
      <c r="AA124" s="70">
        <f>('TE BE'!$AA$38+'TE BF'!$AA$38+'TE CVA'!$AA$38)*1*(1-0.03)</f>
        <v>219.02094614462317</v>
      </c>
      <c r="AB124" s="70">
        <f>(SUBSIDIO!$J$124*SUBSIDIO!$V$124)*(0.06)/(1-0.06)</f>
        <v>0</v>
      </c>
      <c r="AC124" s="70">
        <f>((SUBSIDIO!$L$124*SUBSIDIO!$W$124)+(SUBSIDIO!$N$124*SUBSIDIO!$X$124))*(0.06)/(1-0.06)</f>
        <v>386.21251139999998</v>
      </c>
      <c r="AD124" s="70">
        <f>(SUBSIDIO!$J$124*SUBSIDIO!$Y$124)*(0.03)/(1-0.03)</f>
        <v>0</v>
      </c>
      <c r="AE124" s="70">
        <f ca="1">((SUBSIDIO!$L$124*SUBSIDIO!$Z$124)+(SUBSIDIO!$N$124*SUBSIDIO!$AA$124))*(0.03)/(1-0.03)</f>
        <v>239.58036441983532</v>
      </c>
      <c r="AF124" s="4" t="s">
        <v>546</v>
      </c>
    </row>
    <row r="125" spans="1:32" ht="11.25" customHeight="1" x14ac:dyDescent="0.3">
      <c r="A125" s="4" t="s">
        <v>21</v>
      </c>
      <c r="B125" s="4" t="s">
        <v>33</v>
      </c>
      <c r="C125" s="4" t="s">
        <v>23</v>
      </c>
      <c r="D125" s="4" t="s">
        <v>46</v>
      </c>
      <c r="E125" s="4" t="s">
        <v>47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70">
        <v>0</v>
      </c>
      <c r="L125" s="6">
        <v>5.8730000000000002</v>
      </c>
      <c r="M125" s="70">
        <v>5.8730000000000002</v>
      </c>
      <c r="N125" s="6">
        <v>5.8730000000000002</v>
      </c>
      <c r="O125" s="70">
        <v>5.8730000000000002</v>
      </c>
      <c r="P125" s="6">
        <v>3</v>
      </c>
      <c r="Q125" s="4" t="s">
        <v>26</v>
      </c>
      <c r="R125" s="4">
        <v>0</v>
      </c>
      <c r="S125" s="4">
        <v>0</v>
      </c>
      <c r="T125" s="4">
        <v>55</v>
      </c>
      <c r="U125" s="4">
        <v>6</v>
      </c>
      <c r="V125" s="70">
        <f>IF(ISERROR(VLOOKUP($S$125,'TAR FIN'!$A$1:$O$85,15,0)),0,VLOOKUP($S$125,'TAR FIN'!$A$1:$O$85,15,0))</f>
        <v>0</v>
      </c>
      <c r="W125" s="70">
        <f>IF(ISERROR(VLOOKUP($T$125,'TAR FIN'!$A$1:$O$85,15,0)),0,VLOOKUP($T$125,'TAR FIN'!$A$1:$O$85,15,0))*(1-0.06)</f>
        <v>774.31560000000002</v>
      </c>
      <c r="X125" s="70">
        <f>IF(ISERROR(VLOOKUP($U$125,'TAR FIN'!$A$1:$O$85,15,0)),0,VLOOKUP($U$125,'TAR FIN'!$A$1:$O$85,15,0))*(1-0.06)</f>
        <v>189.62619999999998</v>
      </c>
      <c r="Y125" s="70"/>
      <c r="Z125" s="70">
        <f ca="1">('TUSD BE'!$AM$48+'TUSD BF'!$AM$48+'TUSD CVA'!$AM$48)*1*(1-0.03)</f>
        <v>1015.0768366987746</v>
      </c>
      <c r="AA125" s="70">
        <f>('TE BE'!$AA$38+'TE BF'!$AA$38+'TE CVA'!$AA$38)*1*(1-0.03)</f>
        <v>219.02094614462317</v>
      </c>
      <c r="AB125" s="70">
        <f>(SUBSIDIO!$J$125*SUBSIDIO!$V$125)*(0.06)/(1-0.06)</f>
        <v>0</v>
      </c>
      <c r="AC125" s="70">
        <f>((SUBSIDIO!$L$125*SUBSIDIO!$W$125)+(SUBSIDIO!$N$125*SUBSIDIO!$X$125))*(0.06)/(1-0.06)</f>
        <v>361.35511860000003</v>
      </c>
      <c r="AD125" s="70">
        <f>(SUBSIDIO!$J$125*SUBSIDIO!$Y$125)*(0.03)/(1-0.03)</f>
        <v>0</v>
      </c>
      <c r="AE125" s="70">
        <f ca="1">((SUBSIDIO!$L$125*SUBSIDIO!$Z$125)+(SUBSIDIO!$N$125*SUBSIDIO!$AA$125))*(0.03)/(1-0.03)</f>
        <v>224.16050346307037</v>
      </c>
      <c r="AF125" s="4" t="s">
        <v>546</v>
      </c>
    </row>
    <row r="126" spans="1:32" ht="11.25" customHeight="1" x14ac:dyDescent="0.3"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2" ht="11.25" customHeight="1" x14ac:dyDescent="0.3"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2" ht="11.25" customHeight="1" x14ac:dyDescent="0.3"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22:31" ht="11.25" customHeight="1" x14ac:dyDescent="0.3"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22:31" ht="11.25" customHeight="1" x14ac:dyDescent="0.3"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22:31" ht="11.25" customHeight="1" x14ac:dyDescent="0.3"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22:31" ht="11.25" customHeight="1" x14ac:dyDescent="0.3"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22:31" ht="11.25" customHeight="1" x14ac:dyDescent="0.3"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22:31" ht="11.25" customHeight="1" x14ac:dyDescent="0.3"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22:31" ht="11.25" customHeight="1" x14ac:dyDescent="0.3"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22:31" ht="11.25" customHeight="1" x14ac:dyDescent="0.3"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22:31" ht="11.25" customHeight="1" x14ac:dyDescent="0.3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22:31" ht="11.25" customHeight="1" x14ac:dyDescent="0.3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22:31" ht="11.25" customHeight="1" x14ac:dyDescent="0.3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22:31" ht="11.25" customHeight="1" x14ac:dyDescent="0.3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22:31" ht="11.25" customHeight="1" x14ac:dyDescent="0.3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22:31" ht="11.25" customHeight="1" x14ac:dyDescent="0.3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22:31" ht="11.25" customHeight="1" x14ac:dyDescent="0.3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22:31" ht="11.25" customHeight="1" x14ac:dyDescent="0.3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3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3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3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3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3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3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3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3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3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3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3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3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3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3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3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3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3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3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3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3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3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3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3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3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3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3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3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3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3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3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3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3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3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3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3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3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3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3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3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3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3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3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3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3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3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3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3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3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3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3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3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3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3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3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3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3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3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3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3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3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3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3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3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3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3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3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3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33FD-3303-4E5B-B0AD-60B0033C6A95}">
  <dimension ref="A1:J321"/>
  <sheetViews>
    <sheetView showGridLines="0" workbookViewId="0"/>
  </sheetViews>
  <sheetFormatPr defaultColWidth="9.109375" defaultRowHeight="11.25" customHeight="1" x14ac:dyDescent="0.2"/>
  <cols>
    <col min="1" max="1" width="34.6640625" style="16" bestFit="1" customWidth="1"/>
    <col min="2" max="2" width="24.5546875" style="57" bestFit="1" customWidth="1"/>
    <col min="3" max="3" width="25.5546875" style="57" bestFit="1" customWidth="1"/>
    <col min="4" max="4" width="26" style="57" bestFit="1" customWidth="1"/>
    <col min="5" max="5" width="26.88671875" style="57" bestFit="1" customWidth="1"/>
    <col min="6" max="6" width="23.6640625" style="57" bestFit="1" customWidth="1"/>
    <col min="7" max="7" width="24.5546875" style="57" bestFit="1" customWidth="1"/>
    <col min="8" max="8" width="18.33203125" style="58" bestFit="1" customWidth="1"/>
    <col min="9" max="9" width="16" style="58" bestFit="1" customWidth="1"/>
    <col min="10" max="10" width="13.88671875" style="58" bestFit="1" customWidth="1"/>
    <col min="11" max="16384" width="9.109375" style="16"/>
  </cols>
  <sheetData>
    <row r="1" spans="1:10" ht="11.25" customHeight="1" x14ac:dyDescent="0.2">
      <c r="A1" s="56" t="s">
        <v>529</v>
      </c>
      <c r="B1" s="57" t="s">
        <v>530</v>
      </c>
      <c r="C1" s="57" t="s">
        <v>531</v>
      </c>
      <c r="D1" s="57" t="s">
        <v>532</v>
      </c>
      <c r="E1" s="57" t="s">
        <v>533</v>
      </c>
      <c r="F1" s="57" t="s">
        <v>534</v>
      </c>
      <c r="G1" s="57" t="s">
        <v>535</v>
      </c>
      <c r="H1" s="58" t="s">
        <v>536</v>
      </c>
      <c r="I1" s="58" t="s">
        <v>537</v>
      </c>
      <c r="J1" s="58" t="s">
        <v>538</v>
      </c>
    </row>
    <row r="2" spans="1:10" ht="11.25" customHeight="1" x14ac:dyDescent="0.2">
      <c r="A2" s="59" t="s">
        <v>26</v>
      </c>
      <c r="B2" s="57">
        <v>800340.24</v>
      </c>
      <c r="C2" s="57">
        <v>1023569.1721118587</v>
      </c>
      <c r="D2" s="57">
        <v>14858157.270737598</v>
      </c>
      <c r="E2" s="57">
        <v>18511542.95276887</v>
      </c>
      <c r="F2" s="57">
        <v>3970973.3826485993</v>
      </c>
      <c r="G2" s="57">
        <v>4281964.8834332787</v>
      </c>
      <c r="H2" s="58">
        <v>0.24757257913697006</v>
      </c>
      <c r="I2" s="58">
        <v>7.8316188706672341E-2</v>
      </c>
      <c r="J2" s="58">
        <v>0.21333260268053156</v>
      </c>
    </row>
    <row r="3" spans="1:10" ht="11.25" customHeight="1" x14ac:dyDescent="0.2">
      <c r="A3" s="60" t="s">
        <v>36</v>
      </c>
      <c r="B3" s="57">
        <v>800340.24</v>
      </c>
      <c r="C3" s="57">
        <v>1023569.1721118587</v>
      </c>
      <c r="D3" s="57">
        <v>867796.60740359977</v>
      </c>
      <c r="E3" s="57">
        <v>1048999.0682946597</v>
      </c>
      <c r="F3" s="57">
        <v>540592.36637559999</v>
      </c>
      <c r="G3" s="57">
        <v>582931.56822117977</v>
      </c>
      <c r="H3" s="58">
        <v>0.24244497304426949</v>
      </c>
      <c r="I3" s="58">
        <v>7.8320014264061655E-2</v>
      </c>
      <c r="J3" s="58">
        <v>0.20227495161530507</v>
      </c>
    </row>
    <row r="4" spans="1:10" ht="11.25" customHeight="1" x14ac:dyDescent="0.2">
      <c r="A4" s="61" t="s">
        <v>37</v>
      </c>
      <c r="B4" s="57">
        <v>800340.24</v>
      </c>
      <c r="C4" s="57">
        <v>1023569.1721118587</v>
      </c>
      <c r="D4" s="57">
        <v>867796.60740359977</v>
      </c>
      <c r="E4" s="57">
        <v>1048999.0682946597</v>
      </c>
      <c r="F4" s="57">
        <v>540592.36637559999</v>
      </c>
      <c r="G4" s="57">
        <v>582931.56822117977</v>
      </c>
      <c r="H4" s="58">
        <v>0.24244497304426949</v>
      </c>
      <c r="I4" s="58">
        <v>7.8320014264061655E-2</v>
      </c>
      <c r="J4" s="58">
        <v>0.20227495161530507</v>
      </c>
    </row>
    <row r="5" spans="1:10" ht="11.25" customHeight="1" x14ac:dyDescent="0.2">
      <c r="A5" s="62" t="s">
        <v>35</v>
      </c>
      <c r="B5" s="57">
        <v>722843.44000000018</v>
      </c>
      <c r="C5" s="57">
        <v>924457.15518101177</v>
      </c>
      <c r="D5" s="57">
        <v>819992.58332999994</v>
      </c>
      <c r="E5" s="57">
        <v>994684.6496126462</v>
      </c>
      <c r="F5" s="57">
        <v>485740.22029000008</v>
      </c>
      <c r="G5" s="57">
        <v>523783.40127174126</v>
      </c>
      <c r="H5" s="58">
        <v>0.24390523411000808</v>
      </c>
      <c r="I5" s="58">
        <v>7.8320014264061433E-2</v>
      </c>
      <c r="J5" s="58">
        <v>0.20425604595762792</v>
      </c>
    </row>
    <row r="6" spans="1:10" ht="11.25" customHeight="1" x14ac:dyDescent="0.2">
      <c r="A6" s="63" t="s">
        <v>25</v>
      </c>
      <c r="B6" s="57">
        <v>722843.44000000018</v>
      </c>
      <c r="C6" s="57">
        <v>924457.15518101177</v>
      </c>
      <c r="D6" s="57">
        <v>819992.58332999994</v>
      </c>
      <c r="E6" s="57">
        <v>994684.6496126462</v>
      </c>
      <c r="F6" s="57">
        <v>485740.22029000008</v>
      </c>
      <c r="G6" s="57">
        <v>523783.40127174126</v>
      </c>
      <c r="H6" s="58">
        <v>0.24390523411000808</v>
      </c>
      <c r="I6" s="58">
        <v>7.8320014264061433E-2</v>
      </c>
      <c r="J6" s="58">
        <v>0.20425604595762792</v>
      </c>
    </row>
    <row r="7" spans="1:10" ht="11.25" customHeight="1" x14ac:dyDescent="0.2">
      <c r="A7" s="64" t="s">
        <v>25</v>
      </c>
      <c r="B7" s="57">
        <v>722843.44000000018</v>
      </c>
      <c r="C7" s="57">
        <v>924457.15518101177</v>
      </c>
      <c r="D7" s="57">
        <v>819992.58332999994</v>
      </c>
      <c r="E7" s="57">
        <v>994684.6496126462</v>
      </c>
      <c r="F7" s="57">
        <v>485740.22029000008</v>
      </c>
      <c r="G7" s="57">
        <v>523783.40127174126</v>
      </c>
      <c r="H7" s="58">
        <v>0.24390523411000808</v>
      </c>
      <c r="I7" s="58">
        <v>7.8320014264061433E-2</v>
      </c>
      <c r="J7" s="58">
        <v>0.20425604595762792</v>
      </c>
    </row>
    <row r="8" spans="1:10" ht="11.25" customHeight="1" x14ac:dyDescent="0.2">
      <c r="A8" s="65" t="s">
        <v>25</v>
      </c>
      <c r="B8" s="57">
        <v>722843.44000000018</v>
      </c>
      <c r="C8" s="57">
        <v>924457.15518101177</v>
      </c>
      <c r="D8" s="57">
        <v>819992.58332999994</v>
      </c>
      <c r="E8" s="57">
        <v>994684.6496126462</v>
      </c>
      <c r="F8" s="57">
        <v>485740.22029000008</v>
      </c>
      <c r="G8" s="57">
        <v>523783.40127174126</v>
      </c>
      <c r="H8" s="58">
        <v>0.24390523411000808</v>
      </c>
      <c r="I8" s="58">
        <v>7.8320014264061433E-2</v>
      </c>
      <c r="J8" s="58">
        <v>0.20425604595762792</v>
      </c>
    </row>
    <row r="9" spans="1:10" ht="11.25" customHeight="1" x14ac:dyDescent="0.2">
      <c r="A9" s="66" t="s">
        <v>39</v>
      </c>
      <c r="B9" s="57">
        <v>0</v>
      </c>
      <c r="C9" s="57">
        <v>0</v>
      </c>
      <c r="D9" s="57">
        <v>278703.85382999998</v>
      </c>
      <c r="E9" s="57">
        <v>297758.08029532537</v>
      </c>
      <c r="F9" s="57">
        <v>456317.89979</v>
      </c>
      <c r="G9" s="57">
        <v>492056.72421049944</v>
      </c>
      <c r="H9" s="58">
        <v>6.8367287367859131E-2</v>
      </c>
      <c r="I9" s="58">
        <v>7.8320014264061655E-2</v>
      </c>
      <c r="J9" s="58">
        <v>7.4546162227128177E-2</v>
      </c>
    </row>
    <row r="10" spans="1:10" ht="11.25" customHeight="1" x14ac:dyDescent="0.2">
      <c r="A10" s="67">
        <v>44287</v>
      </c>
      <c r="B10" s="57">
        <v>0</v>
      </c>
      <c r="C10" s="57">
        <v>0</v>
      </c>
      <c r="D10" s="57">
        <v>20105.654219999997</v>
      </c>
      <c r="E10" s="57">
        <v>21480.223259777547</v>
      </c>
      <c r="F10" s="57">
        <v>32918.704859999998</v>
      </c>
      <c r="G10" s="57">
        <v>35496.898294189632</v>
      </c>
      <c r="H10" s="58">
        <v>6.8367287367859131E-2</v>
      </c>
      <c r="I10" s="58">
        <v>7.8320014264061655E-2</v>
      </c>
      <c r="J10" s="58">
        <v>7.4546162227128399E-2</v>
      </c>
    </row>
    <row r="11" spans="1:10" ht="11.25" customHeight="1" x14ac:dyDescent="0.2">
      <c r="A11" s="67">
        <v>44317</v>
      </c>
      <c r="B11" s="57">
        <v>0</v>
      </c>
      <c r="C11" s="57">
        <v>0</v>
      </c>
      <c r="D11" s="57">
        <v>20220.116309999998</v>
      </c>
      <c r="E11" s="57">
        <v>21602.510812377306</v>
      </c>
      <c r="F11" s="57">
        <v>33106.112029999997</v>
      </c>
      <c r="G11" s="57">
        <v>35698.983196417219</v>
      </c>
      <c r="H11" s="58">
        <v>6.8367287367859353E-2</v>
      </c>
      <c r="I11" s="58">
        <v>7.8320014264061655E-2</v>
      </c>
      <c r="J11" s="58">
        <v>7.4546162227128399E-2</v>
      </c>
    </row>
    <row r="12" spans="1:10" ht="11.25" customHeight="1" x14ac:dyDescent="0.2">
      <c r="A12" s="67">
        <v>44348</v>
      </c>
      <c r="B12" s="57">
        <v>0</v>
      </c>
      <c r="C12" s="57">
        <v>0</v>
      </c>
      <c r="D12" s="57">
        <v>19711.135799999996</v>
      </c>
      <c r="E12" s="57">
        <v>21058.732685585495</v>
      </c>
      <c r="F12" s="57">
        <v>32272.765399999997</v>
      </c>
      <c r="G12" s="57">
        <v>34800.368846468715</v>
      </c>
      <c r="H12" s="58">
        <v>6.8367287367859353E-2</v>
      </c>
      <c r="I12" s="58">
        <v>7.8320014264061655E-2</v>
      </c>
      <c r="J12" s="58">
        <v>7.4546162227128399E-2</v>
      </c>
    </row>
    <row r="13" spans="1:10" ht="11.25" customHeight="1" x14ac:dyDescent="0.2">
      <c r="A13" s="67">
        <v>44378</v>
      </c>
      <c r="B13" s="57">
        <v>0</v>
      </c>
      <c r="C13" s="57">
        <v>0</v>
      </c>
      <c r="D13" s="57">
        <v>22542.378389999998</v>
      </c>
      <c r="E13" s="57">
        <v>24083.539651344148</v>
      </c>
      <c r="F13" s="57">
        <v>36908.319069999998</v>
      </c>
      <c r="G13" s="57">
        <v>39798.97914602494</v>
      </c>
      <c r="H13" s="58">
        <v>6.8367287367859353E-2</v>
      </c>
      <c r="I13" s="58">
        <v>7.8320014264061655E-2</v>
      </c>
      <c r="J13" s="58">
        <v>7.4546162227128399E-2</v>
      </c>
    </row>
    <row r="14" spans="1:10" ht="11.25" customHeight="1" x14ac:dyDescent="0.2">
      <c r="A14" s="67">
        <v>44409</v>
      </c>
      <c r="B14" s="57">
        <v>0</v>
      </c>
      <c r="C14" s="57">
        <v>0</v>
      </c>
      <c r="D14" s="57">
        <v>20589.746309999999</v>
      </c>
      <c r="E14" s="57">
        <v>21997.411412807087</v>
      </c>
      <c r="F14" s="57">
        <v>33711.302029999999</v>
      </c>
      <c r="G14" s="57">
        <v>36351.571685849689</v>
      </c>
      <c r="H14" s="58">
        <v>6.8367287367859131E-2</v>
      </c>
      <c r="I14" s="58">
        <v>7.8320014264061655E-2</v>
      </c>
      <c r="J14" s="58">
        <v>7.4546162227128399E-2</v>
      </c>
    </row>
    <row r="15" spans="1:10" ht="11.25" customHeight="1" x14ac:dyDescent="0.2">
      <c r="A15" s="67">
        <v>44440</v>
      </c>
      <c r="B15" s="57">
        <v>0</v>
      </c>
      <c r="C15" s="57">
        <v>0</v>
      </c>
      <c r="D15" s="57">
        <v>22398.59232</v>
      </c>
      <c r="E15" s="57">
        <v>23929.923317776964</v>
      </c>
      <c r="F15" s="57">
        <v>36672.900159999997</v>
      </c>
      <c r="G15" s="57">
        <v>39545.122223635706</v>
      </c>
      <c r="H15" s="58">
        <v>6.8367287367859131E-2</v>
      </c>
      <c r="I15" s="58">
        <v>7.8320014264061655E-2</v>
      </c>
      <c r="J15" s="58">
        <v>7.4546162227128399E-2</v>
      </c>
    </row>
    <row r="16" spans="1:10" ht="11.25" customHeight="1" x14ac:dyDescent="0.2">
      <c r="A16" s="67">
        <v>44470</v>
      </c>
      <c r="B16" s="57">
        <v>0</v>
      </c>
      <c r="C16" s="57">
        <v>0</v>
      </c>
      <c r="D16" s="57">
        <v>23366.7765</v>
      </c>
      <c r="E16" s="57">
        <v>24964.299623836039</v>
      </c>
      <c r="F16" s="57">
        <v>38258.094499999999</v>
      </c>
      <c r="G16" s="57">
        <v>41254.46900695582</v>
      </c>
      <c r="H16" s="58">
        <v>6.8367287367859131E-2</v>
      </c>
      <c r="I16" s="58">
        <v>7.8320014264061655E-2</v>
      </c>
      <c r="J16" s="58">
        <v>7.4546162227128399E-2</v>
      </c>
    </row>
    <row r="17" spans="1:10" ht="11.25" customHeight="1" x14ac:dyDescent="0.2">
      <c r="A17" s="67">
        <v>44501</v>
      </c>
      <c r="B17" s="57">
        <v>0</v>
      </c>
      <c r="C17" s="57">
        <v>0</v>
      </c>
      <c r="D17" s="57">
        <v>23773.246289999999</v>
      </c>
      <c r="E17" s="57">
        <v>25398.558650775321</v>
      </c>
      <c r="F17" s="57">
        <v>38923.601770000001</v>
      </c>
      <c r="G17" s="57">
        <v>41972.098815835059</v>
      </c>
      <c r="H17" s="58">
        <v>6.8367287367859131E-2</v>
      </c>
      <c r="I17" s="58">
        <v>7.8320014264061655E-2</v>
      </c>
      <c r="J17" s="58">
        <v>7.4546162227128399E-2</v>
      </c>
    </row>
    <row r="18" spans="1:10" ht="11.25" customHeight="1" x14ac:dyDescent="0.2">
      <c r="A18" s="67">
        <v>44531</v>
      </c>
      <c r="B18" s="57">
        <v>0</v>
      </c>
      <c r="C18" s="57">
        <v>0</v>
      </c>
      <c r="D18" s="57">
        <v>26863.106669999997</v>
      </c>
      <c r="E18" s="57">
        <v>28699.664403301344</v>
      </c>
      <c r="F18" s="57">
        <v>43982.586709999996</v>
      </c>
      <c r="G18" s="57">
        <v>47427.303528497527</v>
      </c>
      <c r="H18" s="58">
        <v>6.8367287367859131E-2</v>
      </c>
      <c r="I18" s="58">
        <v>7.8320014264061655E-2</v>
      </c>
      <c r="J18" s="58">
        <v>7.4546162227128177E-2</v>
      </c>
    </row>
    <row r="19" spans="1:10" ht="11.25" customHeight="1" x14ac:dyDescent="0.2">
      <c r="A19" s="67">
        <v>44562</v>
      </c>
      <c r="B19" s="57">
        <v>0</v>
      </c>
      <c r="C19" s="57">
        <v>0</v>
      </c>
      <c r="D19" s="57">
        <v>29842.324469999996</v>
      </c>
      <c r="E19" s="57">
        <v>31882.563242765384</v>
      </c>
      <c r="F19" s="57">
        <v>48860.418109999999</v>
      </c>
      <c r="G19" s="57">
        <v>52687.16675332321</v>
      </c>
      <c r="H19" s="58">
        <v>6.8367287367859353E-2</v>
      </c>
      <c r="I19" s="58">
        <v>7.8320014264061655E-2</v>
      </c>
      <c r="J19" s="58">
        <v>7.4546162227128399E-2</v>
      </c>
    </row>
    <row r="20" spans="1:10" ht="11.25" customHeight="1" x14ac:dyDescent="0.2">
      <c r="A20" s="67">
        <v>44593</v>
      </c>
      <c r="B20" s="57">
        <v>0</v>
      </c>
      <c r="C20" s="57">
        <v>0</v>
      </c>
      <c r="D20" s="57">
        <v>23324.8851</v>
      </c>
      <c r="E20" s="57">
        <v>24919.544222453995</v>
      </c>
      <c r="F20" s="57">
        <v>38189.506300000001</v>
      </c>
      <c r="G20" s="57">
        <v>41180.50897815347</v>
      </c>
      <c r="H20" s="58">
        <v>6.8367287367859131E-2</v>
      </c>
      <c r="I20" s="58">
        <v>7.8320014264061655E-2</v>
      </c>
      <c r="J20" s="58">
        <v>7.4546162227128177E-2</v>
      </c>
    </row>
    <row r="21" spans="1:10" ht="11.25" customHeight="1" x14ac:dyDescent="0.2">
      <c r="A21" s="67">
        <v>44621</v>
      </c>
      <c r="B21" s="57">
        <v>0</v>
      </c>
      <c r="C21" s="57">
        <v>0</v>
      </c>
      <c r="D21" s="57">
        <v>25965.891449999999</v>
      </c>
      <c r="E21" s="57">
        <v>27741.109012524787</v>
      </c>
      <c r="F21" s="57">
        <v>42513.58885</v>
      </c>
      <c r="G21" s="57">
        <v>45843.25373514845</v>
      </c>
      <c r="H21" s="58">
        <v>6.8367287367859131E-2</v>
      </c>
      <c r="I21" s="58">
        <v>7.8320014264061655E-2</v>
      </c>
      <c r="J21" s="58">
        <v>7.4546162227128399E-2</v>
      </c>
    </row>
    <row r="22" spans="1:10" ht="11.25" customHeight="1" x14ac:dyDescent="0.2">
      <c r="A22" s="66" t="s">
        <v>25</v>
      </c>
      <c r="B22" s="57">
        <v>722843.44000000018</v>
      </c>
      <c r="C22" s="57">
        <v>924457.15518101177</v>
      </c>
      <c r="D22" s="57">
        <v>0</v>
      </c>
      <c r="E22" s="57">
        <v>0</v>
      </c>
      <c r="F22" s="57">
        <v>0</v>
      </c>
      <c r="G22" s="57">
        <v>0</v>
      </c>
      <c r="H22" s="58">
        <v>0.27891754150941939</v>
      </c>
      <c r="I22" s="58">
        <v>0</v>
      </c>
      <c r="J22" s="58">
        <v>0.27891754150941939</v>
      </c>
    </row>
    <row r="23" spans="1:10" ht="11.25" customHeight="1" x14ac:dyDescent="0.2">
      <c r="A23" s="67">
        <v>44287</v>
      </c>
      <c r="B23" s="57">
        <v>63165.2</v>
      </c>
      <c r="C23" s="57">
        <v>80783.082292950799</v>
      </c>
      <c r="D23" s="57">
        <v>0</v>
      </c>
      <c r="E23" s="57">
        <v>0</v>
      </c>
      <c r="F23" s="57">
        <v>0</v>
      </c>
      <c r="G23" s="57">
        <v>0</v>
      </c>
      <c r="H23" s="58">
        <v>0.27891754150941983</v>
      </c>
      <c r="I23" s="58">
        <v>0</v>
      </c>
      <c r="J23" s="58">
        <v>0.27891754150941983</v>
      </c>
    </row>
    <row r="24" spans="1:10" ht="11.25" customHeight="1" x14ac:dyDescent="0.2">
      <c r="A24" s="67">
        <v>44317</v>
      </c>
      <c r="B24" s="57">
        <v>62369</v>
      </c>
      <c r="C24" s="57">
        <v>79764.808146401003</v>
      </c>
      <c r="D24" s="57">
        <v>0</v>
      </c>
      <c r="E24" s="57">
        <v>0</v>
      </c>
      <c r="F24" s="57">
        <v>0</v>
      </c>
      <c r="G24" s="57">
        <v>0</v>
      </c>
      <c r="H24" s="58">
        <v>0.27891754150941983</v>
      </c>
      <c r="I24" s="58">
        <v>0</v>
      </c>
      <c r="J24" s="58">
        <v>0.27891754150941983</v>
      </c>
    </row>
    <row r="25" spans="1:10" ht="11.25" customHeight="1" x14ac:dyDescent="0.2">
      <c r="A25" s="67">
        <v>44348</v>
      </c>
      <c r="B25" s="57">
        <v>63059.040000000001</v>
      </c>
      <c r="C25" s="57">
        <v>80647.312406744153</v>
      </c>
      <c r="D25" s="57">
        <v>0</v>
      </c>
      <c r="E25" s="57">
        <v>0</v>
      </c>
      <c r="F25" s="57">
        <v>0</v>
      </c>
      <c r="G25" s="57">
        <v>0</v>
      </c>
      <c r="H25" s="58">
        <v>0.27891754150941961</v>
      </c>
      <c r="I25" s="58">
        <v>0</v>
      </c>
      <c r="J25" s="58">
        <v>0.27891754150941961</v>
      </c>
    </row>
    <row r="26" spans="1:10" ht="11.25" customHeight="1" x14ac:dyDescent="0.2">
      <c r="A26" s="67">
        <v>44378</v>
      </c>
      <c r="B26" s="57">
        <v>56211.72</v>
      </c>
      <c r="C26" s="57">
        <v>71890.154746415879</v>
      </c>
      <c r="D26" s="57">
        <v>0</v>
      </c>
      <c r="E26" s="57">
        <v>0</v>
      </c>
      <c r="F26" s="57">
        <v>0</v>
      </c>
      <c r="G26" s="57">
        <v>0</v>
      </c>
      <c r="H26" s="58">
        <v>0.27891754150941961</v>
      </c>
      <c r="I26" s="58">
        <v>0</v>
      </c>
      <c r="J26" s="58">
        <v>0.27891754150941961</v>
      </c>
    </row>
    <row r="27" spans="1:10" ht="11.25" customHeight="1" x14ac:dyDescent="0.2">
      <c r="A27" s="67">
        <v>44409</v>
      </c>
      <c r="B27" s="57">
        <v>55893.24</v>
      </c>
      <c r="C27" s="57">
        <v>71482.845087795955</v>
      </c>
      <c r="D27" s="57">
        <v>0</v>
      </c>
      <c r="E27" s="57">
        <v>0</v>
      </c>
      <c r="F27" s="57">
        <v>0</v>
      </c>
      <c r="G27" s="57">
        <v>0</v>
      </c>
      <c r="H27" s="58">
        <v>0.27891754150941961</v>
      </c>
      <c r="I27" s="58">
        <v>0</v>
      </c>
      <c r="J27" s="58">
        <v>0.27891754150941961</v>
      </c>
    </row>
    <row r="28" spans="1:10" ht="11.25" customHeight="1" x14ac:dyDescent="0.2">
      <c r="A28" s="67">
        <v>44440</v>
      </c>
      <c r="B28" s="57">
        <v>57485.64</v>
      </c>
      <c r="C28" s="57">
        <v>73519.393380895563</v>
      </c>
      <c r="D28" s="57">
        <v>0</v>
      </c>
      <c r="E28" s="57">
        <v>0</v>
      </c>
      <c r="F28" s="57">
        <v>0</v>
      </c>
      <c r="G28" s="57">
        <v>0</v>
      </c>
      <c r="H28" s="58">
        <v>0.27891754150941983</v>
      </c>
      <c r="I28" s="58">
        <v>0</v>
      </c>
      <c r="J28" s="58">
        <v>0.27891754150941983</v>
      </c>
    </row>
    <row r="29" spans="1:10" ht="11.25" customHeight="1" x14ac:dyDescent="0.2">
      <c r="A29" s="67">
        <v>44470</v>
      </c>
      <c r="B29" s="57">
        <v>56901.759999999995</v>
      </c>
      <c r="C29" s="57">
        <v>72772.659006759044</v>
      </c>
      <c r="D29" s="57">
        <v>0</v>
      </c>
      <c r="E29" s="57">
        <v>0</v>
      </c>
      <c r="F29" s="57">
        <v>0</v>
      </c>
      <c r="G29" s="57">
        <v>0</v>
      </c>
      <c r="H29" s="58">
        <v>0.27891754150941983</v>
      </c>
      <c r="I29" s="58">
        <v>0</v>
      </c>
      <c r="J29" s="58">
        <v>0.27891754150941983</v>
      </c>
    </row>
    <row r="30" spans="1:10" ht="11.25" customHeight="1" x14ac:dyDescent="0.2">
      <c r="A30" s="67">
        <v>44501</v>
      </c>
      <c r="B30" s="57">
        <v>59396.52</v>
      </c>
      <c r="C30" s="57">
        <v>75963.25133261508</v>
      </c>
      <c r="D30" s="57">
        <v>0</v>
      </c>
      <c r="E30" s="57">
        <v>0</v>
      </c>
      <c r="F30" s="57">
        <v>0</v>
      </c>
      <c r="G30" s="57">
        <v>0</v>
      </c>
      <c r="H30" s="58">
        <v>0.27891754150941983</v>
      </c>
      <c r="I30" s="58">
        <v>0</v>
      </c>
      <c r="J30" s="58">
        <v>0.27891754150941983</v>
      </c>
    </row>
    <row r="31" spans="1:10" ht="11.25" customHeight="1" x14ac:dyDescent="0.2">
      <c r="A31" s="67">
        <v>44531</v>
      </c>
      <c r="B31" s="57">
        <v>58547.24</v>
      </c>
      <c r="C31" s="57">
        <v>74877.092242961953</v>
      </c>
      <c r="D31" s="57">
        <v>0</v>
      </c>
      <c r="E31" s="57">
        <v>0</v>
      </c>
      <c r="F31" s="57">
        <v>0</v>
      </c>
      <c r="G31" s="57">
        <v>0</v>
      </c>
      <c r="H31" s="58">
        <v>0.27891754150941961</v>
      </c>
      <c r="I31" s="58">
        <v>0</v>
      </c>
      <c r="J31" s="58">
        <v>0.27891754150941961</v>
      </c>
    </row>
    <row r="32" spans="1:10" ht="11.25" customHeight="1" x14ac:dyDescent="0.2">
      <c r="A32" s="67">
        <v>44562</v>
      </c>
      <c r="B32" s="57">
        <v>61148.159999999996</v>
      </c>
      <c r="C32" s="57">
        <v>78203.454455024636</v>
      </c>
      <c r="D32" s="57">
        <v>0</v>
      </c>
      <c r="E32" s="57">
        <v>0</v>
      </c>
      <c r="F32" s="57">
        <v>0</v>
      </c>
      <c r="G32" s="57">
        <v>0</v>
      </c>
      <c r="H32" s="58">
        <v>0.27891754150941983</v>
      </c>
      <c r="I32" s="58">
        <v>0</v>
      </c>
      <c r="J32" s="58">
        <v>0.27891754150941983</v>
      </c>
    </row>
    <row r="33" spans="1:10" ht="11.25" customHeight="1" x14ac:dyDescent="0.2">
      <c r="A33" s="67">
        <v>44593</v>
      </c>
      <c r="B33" s="57">
        <v>63802.159999999996</v>
      </c>
      <c r="C33" s="57">
        <v>81597.701610190634</v>
      </c>
      <c r="D33" s="57">
        <v>0</v>
      </c>
      <c r="E33" s="57">
        <v>0</v>
      </c>
      <c r="F33" s="57">
        <v>0</v>
      </c>
      <c r="G33" s="57">
        <v>0</v>
      </c>
      <c r="H33" s="58">
        <v>0.27891754150941983</v>
      </c>
      <c r="I33" s="58">
        <v>0</v>
      </c>
      <c r="J33" s="58">
        <v>0.27891754150941983</v>
      </c>
    </row>
    <row r="34" spans="1:10" ht="11.25" customHeight="1" x14ac:dyDescent="0.2">
      <c r="A34" s="67">
        <v>44621</v>
      </c>
      <c r="B34" s="57">
        <v>64863.759999999995</v>
      </c>
      <c r="C34" s="57">
        <v>82955.400472257039</v>
      </c>
      <c r="D34" s="57">
        <v>0</v>
      </c>
      <c r="E34" s="57">
        <v>0</v>
      </c>
      <c r="F34" s="57">
        <v>0</v>
      </c>
      <c r="G34" s="57">
        <v>0</v>
      </c>
      <c r="H34" s="58">
        <v>0.27891754150941983</v>
      </c>
      <c r="I34" s="58">
        <v>0</v>
      </c>
      <c r="J34" s="58">
        <v>0.27891754150941983</v>
      </c>
    </row>
    <row r="35" spans="1:10" ht="11.25" customHeight="1" x14ac:dyDescent="0.2">
      <c r="A35" s="66" t="s">
        <v>38</v>
      </c>
      <c r="B35" s="57">
        <v>0</v>
      </c>
      <c r="C35" s="57">
        <v>0</v>
      </c>
      <c r="D35" s="57">
        <v>541288.72950000002</v>
      </c>
      <c r="E35" s="57">
        <v>696926.56931732083</v>
      </c>
      <c r="F35" s="57">
        <v>29422.320499999998</v>
      </c>
      <c r="G35" s="57">
        <v>31726.677061241789</v>
      </c>
      <c r="H35" s="58">
        <v>0.28753201634382219</v>
      </c>
      <c r="I35" s="58">
        <v>7.8320014264061655E-2</v>
      </c>
      <c r="J35" s="58">
        <v>0.27674634366824091</v>
      </c>
    </row>
    <row r="36" spans="1:10" ht="11.25" customHeight="1" x14ac:dyDescent="0.2">
      <c r="A36" s="67">
        <v>44287</v>
      </c>
      <c r="B36" s="57">
        <v>0</v>
      </c>
      <c r="C36" s="57">
        <v>0</v>
      </c>
      <c r="D36" s="57">
        <v>37810.41876</v>
      </c>
      <c r="E36" s="57">
        <v>48682.124704867092</v>
      </c>
      <c r="F36" s="57">
        <v>2055.2252400000002</v>
      </c>
      <c r="G36" s="57">
        <v>2216.1905101126595</v>
      </c>
      <c r="H36" s="58">
        <v>0.28753201634382242</v>
      </c>
      <c r="I36" s="58">
        <v>7.8320014264061433E-2</v>
      </c>
      <c r="J36" s="58">
        <v>0.27674634366824113</v>
      </c>
    </row>
    <row r="37" spans="1:10" ht="11.25" customHeight="1" x14ac:dyDescent="0.2">
      <c r="A37" s="67">
        <v>44317</v>
      </c>
      <c r="B37" s="57">
        <v>0</v>
      </c>
      <c r="C37" s="57">
        <v>0</v>
      </c>
      <c r="D37" s="57">
        <v>36533.741879999994</v>
      </c>
      <c r="E37" s="57">
        <v>47038.362347341143</v>
      </c>
      <c r="F37" s="57">
        <v>1985.8301199999999</v>
      </c>
      <c r="G37" s="57">
        <v>2141.3603633244029</v>
      </c>
      <c r="H37" s="58">
        <v>0.28753201634382242</v>
      </c>
      <c r="I37" s="58">
        <v>7.8320014264061655E-2</v>
      </c>
      <c r="J37" s="58">
        <v>0.27674634366824113</v>
      </c>
    </row>
    <row r="38" spans="1:10" ht="11.25" customHeight="1" x14ac:dyDescent="0.2">
      <c r="A38" s="67">
        <v>44348</v>
      </c>
      <c r="B38" s="57">
        <v>0</v>
      </c>
      <c r="C38" s="57">
        <v>0</v>
      </c>
      <c r="D38" s="57">
        <v>37639.700339999996</v>
      </c>
      <c r="E38" s="57">
        <v>48462.319273337453</v>
      </c>
      <c r="F38" s="57">
        <v>2045.9456599999999</v>
      </c>
      <c r="G38" s="57">
        <v>2206.1841532746948</v>
      </c>
      <c r="H38" s="58">
        <v>0.28753201634382242</v>
      </c>
      <c r="I38" s="58">
        <v>7.8320014264061655E-2</v>
      </c>
      <c r="J38" s="58">
        <v>0.27674634366824113</v>
      </c>
    </row>
    <row r="39" spans="1:10" ht="11.25" customHeight="1" x14ac:dyDescent="0.2">
      <c r="A39" s="67">
        <v>44378</v>
      </c>
      <c r="B39" s="57">
        <v>0</v>
      </c>
      <c r="C39" s="57">
        <v>0</v>
      </c>
      <c r="D39" s="57">
        <v>48146.305710000001</v>
      </c>
      <c r="E39" s="57">
        <v>61989.910070302394</v>
      </c>
      <c r="F39" s="57">
        <v>2617.0432900000001</v>
      </c>
      <c r="G39" s="57">
        <v>2822.0101578024669</v>
      </c>
      <c r="H39" s="58">
        <v>0.28753201634382242</v>
      </c>
      <c r="I39" s="58">
        <v>7.8320014264061655E-2</v>
      </c>
      <c r="J39" s="58">
        <v>0.27674634366824113</v>
      </c>
    </row>
    <row r="40" spans="1:10" ht="11.25" customHeight="1" x14ac:dyDescent="0.2">
      <c r="A40" s="67">
        <v>44409</v>
      </c>
      <c r="B40" s="57">
        <v>0</v>
      </c>
      <c r="C40" s="57">
        <v>0</v>
      </c>
      <c r="D40" s="57">
        <v>43373.61249</v>
      </c>
      <c r="E40" s="57">
        <v>55844.914745365299</v>
      </c>
      <c r="F40" s="57">
        <v>2357.6185099999998</v>
      </c>
      <c r="G40" s="57">
        <v>2542.2672253324154</v>
      </c>
      <c r="H40" s="58">
        <v>0.28753201634382242</v>
      </c>
      <c r="I40" s="58">
        <v>7.8320014264061655E-2</v>
      </c>
      <c r="J40" s="58">
        <v>0.27674634366824091</v>
      </c>
    </row>
    <row r="41" spans="1:10" ht="11.25" customHeight="1" x14ac:dyDescent="0.2">
      <c r="A41" s="67">
        <v>44440</v>
      </c>
      <c r="B41" s="57">
        <v>0</v>
      </c>
      <c r="C41" s="57">
        <v>0</v>
      </c>
      <c r="D41" s="57">
        <v>44520.394919999999</v>
      </c>
      <c r="E41" s="57">
        <v>57321.433839770871</v>
      </c>
      <c r="F41" s="57">
        <v>2419.9530799999998</v>
      </c>
      <c r="G41" s="57">
        <v>2609.4838397439598</v>
      </c>
      <c r="H41" s="58">
        <v>0.28753201634382242</v>
      </c>
      <c r="I41" s="58">
        <v>7.8320014264061655E-2</v>
      </c>
      <c r="J41" s="58">
        <v>0.27674634366824113</v>
      </c>
    </row>
    <row r="42" spans="1:10" ht="11.25" customHeight="1" x14ac:dyDescent="0.2">
      <c r="A42" s="67">
        <v>44470</v>
      </c>
      <c r="B42" s="57">
        <v>0</v>
      </c>
      <c r="C42" s="57">
        <v>0</v>
      </c>
      <c r="D42" s="57">
        <v>40749.744599999998</v>
      </c>
      <c r="E42" s="57">
        <v>52466.600830333788</v>
      </c>
      <c r="F42" s="57">
        <v>2214.9953999999998</v>
      </c>
      <c r="G42" s="57">
        <v>2388.4738713228307</v>
      </c>
      <c r="H42" s="58">
        <v>0.28753201634382242</v>
      </c>
      <c r="I42" s="58">
        <v>7.8320014264061655E-2</v>
      </c>
      <c r="J42" s="58">
        <v>0.27674634366824091</v>
      </c>
    </row>
    <row r="43" spans="1:10" ht="11.25" customHeight="1" x14ac:dyDescent="0.2">
      <c r="A43" s="67">
        <v>44501</v>
      </c>
      <c r="B43" s="57">
        <v>0</v>
      </c>
      <c r="C43" s="57">
        <v>0</v>
      </c>
      <c r="D43" s="57">
        <v>46528.191989999999</v>
      </c>
      <c r="E43" s="57">
        <v>59906.536849717188</v>
      </c>
      <c r="F43" s="57">
        <v>2529.0890100000001</v>
      </c>
      <c r="G43" s="57">
        <v>2727.1672973382815</v>
      </c>
      <c r="H43" s="58">
        <v>0.28753201634382242</v>
      </c>
      <c r="I43" s="58">
        <v>7.8320014264061655E-2</v>
      </c>
      <c r="J43" s="58">
        <v>0.27674634366824091</v>
      </c>
    </row>
    <row r="44" spans="1:10" ht="11.25" customHeight="1" x14ac:dyDescent="0.2">
      <c r="A44" s="67">
        <v>44531</v>
      </c>
      <c r="B44" s="57">
        <v>0</v>
      </c>
      <c r="C44" s="57">
        <v>0</v>
      </c>
      <c r="D44" s="57">
        <v>56452.127970000001</v>
      </c>
      <c r="E44" s="57">
        <v>72683.922152113591</v>
      </c>
      <c r="F44" s="57">
        <v>3068.51503</v>
      </c>
      <c r="G44" s="57">
        <v>3308.8411709190873</v>
      </c>
      <c r="H44" s="58">
        <v>0.28753201634382242</v>
      </c>
      <c r="I44" s="58">
        <v>7.8320014264061655E-2</v>
      </c>
      <c r="J44" s="58">
        <v>0.27674634366824069</v>
      </c>
    </row>
    <row r="45" spans="1:10" ht="11.25" customHeight="1" x14ac:dyDescent="0.2">
      <c r="A45" s="67">
        <v>44562</v>
      </c>
      <c r="B45" s="57">
        <v>0</v>
      </c>
      <c r="C45" s="57">
        <v>0</v>
      </c>
      <c r="D45" s="57">
        <v>54960.19743</v>
      </c>
      <c r="E45" s="57">
        <v>70763.013815702463</v>
      </c>
      <c r="F45" s="57">
        <v>2987.4195699999996</v>
      </c>
      <c r="G45" s="57">
        <v>3221.3943133351368</v>
      </c>
      <c r="H45" s="58">
        <v>0.28753201634382242</v>
      </c>
      <c r="I45" s="58">
        <v>7.8320014264061655E-2</v>
      </c>
      <c r="J45" s="58">
        <v>0.27674634366824113</v>
      </c>
    </row>
    <row r="46" spans="1:10" ht="11.25" customHeight="1" x14ac:dyDescent="0.2">
      <c r="A46" s="67">
        <v>44593</v>
      </c>
      <c r="B46" s="57">
        <v>0</v>
      </c>
      <c r="C46" s="57">
        <v>0</v>
      </c>
      <c r="D46" s="57">
        <v>40820.258730000001</v>
      </c>
      <c r="E46" s="57">
        <v>52557.390030313421</v>
      </c>
      <c r="F46" s="57">
        <v>2218.82827</v>
      </c>
      <c r="G46" s="57">
        <v>2392.6069317559031</v>
      </c>
      <c r="H46" s="58">
        <v>0.28753201634382242</v>
      </c>
      <c r="I46" s="58">
        <v>7.8320014264061655E-2</v>
      </c>
      <c r="J46" s="58">
        <v>0.27674634366824091</v>
      </c>
    </row>
    <row r="47" spans="1:10" ht="11.25" customHeight="1" x14ac:dyDescent="0.2">
      <c r="A47" s="67">
        <v>44621</v>
      </c>
      <c r="B47" s="57">
        <v>0</v>
      </c>
      <c r="C47" s="57">
        <v>0</v>
      </c>
      <c r="D47" s="57">
        <v>53754.034679999997</v>
      </c>
      <c r="E47" s="57">
        <v>69210.040658156155</v>
      </c>
      <c r="F47" s="57">
        <v>2921.8573200000001</v>
      </c>
      <c r="G47" s="57">
        <v>3150.6972269799526</v>
      </c>
      <c r="H47" s="58">
        <v>0.28753201634382242</v>
      </c>
      <c r="I47" s="58">
        <v>7.8320014264061433E-2</v>
      </c>
      <c r="J47" s="58">
        <v>0.27674634366824113</v>
      </c>
    </row>
    <row r="48" spans="1:10" ht="11.25" customHeight="1" x14ac:dyDescent="0.2">
      <c r="A48" s="62" t="s">
        <v>34</v>
      </c>
      <c r="B48" s="57">
        <v>26540</v>
      </c>
      <c r="C48" s="57">
        <v>33942.471551659997</v>
      </c>
      <c r="D48" s="57">
        <v>17206.912799999998</v>
      </c>
      <c r="E48" s="57">
        <v>19361.798271010364</v>
      </c>
      <c r="F48" s="57">
        <v>21105.396059999995</v>
      </c>
      <c r="G48" s="57">
        <v>22758.370980467869</v>
      </c>
      <c r="H48" s="58">
        <v>0.21846929099578349</v>
      </c>
      <c r="I48" s="58">
        <v>7.8320014264061877E-2</v>
      </c>
      <c r="J48" s="58">
        <v>0.17285941148739292</v>
      </c>
    </row>
    <row r="49" spans="1:10" ht="11.25" customHeight="1" x14ac:dyDescent="0.2">
      <c r="A49" s="63" t="s">
        <v>25</v>
      </c>
      <c r="B49" s="57">
        <v>26540</v>
      </c>
      <c r="C49" s="57">
        <v>33942.471551659997</v>
      </c>
      <c r="D49" s="57">
        <v>17206.912799999998</v>
      </c>
      <c r="E49" s="57">
        <v>19361.798271010364</v>
      </c>
      <c r="F49" s="57">
        <v>21105.396059999995</v>
      </c>
      <c r="G49" s="57">
        <v>22758.370980467869</v>
      </c>
      <c r="H49" s="58">
        <v>0.21846929099578349</v>
      </c>
      <c r="I49" s="58">
        <v>7.8320014264061877E-2</v>
      </c>
      <c r="J49" s="58">
        <v>0.17285941148739292</v>
      </c>
    </row>
    <row r="50" spans="1:10" ht="11.25" customHeight="1" x14ac:dyDescent="0.2">
      <c r="A50" s="64" t="s">
        <v>25</v>
      </c>
      <c r="B50" s="57">
        <v>26540</v>
      </c>
      <c r="C50" s="57">
        <v>33942.471551659997</v>
      </c>
      <c r="D50" s="57">
        <v>17206.912799999998</v>
      </c>
      <c r="E50" s="57">
        <v>19361.798271010364</v>
      </c>
      <c r="F50" s="57">
        <v>21105.396059999995</v>
      </c>
      <c r="G50" s="57">
        <v>22758.370980467869</v>
      </c>
      <c r="H50" s="58">
        <v>0.21846929099578349</v>
      </c>
      <c r="I50" s="58">
        <v>7.8320014264061877E-2</v>
      </c>
      <c r="J50" s="58">
        <v>0.17285941148739292</v>
      </c>
    </row>
    <row r="51" spans="1:10" ht="11.25" customHeight="1" x14ac:dyDescent="0.2">
      <c r="A51" s="65" t="s">
        <v>25</v>
      </c>
      <c r="B51" s="57">
        <v>26540</v>
      </c>
      <c r="C51" s="57">
        <v>33942.471551659997</v>
      </c>
      <c r="D51" s="57">
        <v>17206.912799999998</v>
      </c>
      <c r="E51" s="57">
        <v>19361.798271010364</v>
      </c>
      <c r="F51" s="57">
        <v>21105.396059999995</v>
      </c>
      <c r="G51" s="57">
        <v>22758.370980467869</v>
      </c>
      <c r="H51" s="58">
        <v>0.21846929099578349</v>
      </c>
      <c r="I51" s="58">
        <v>7.8320014264061877E-2</v>
      </c>
      <c r="J51" s="58">
        <v>0.17285941148739292</v>
      </c>
    </row>
    <row r="52" spans="1:10" ht="11.25" customHeight="1" x14ac:dyDescent="0.2">
      <c r="A52" s="66" t="s">
        <v>39</v>
      </c>
      <c r="B52" s="57">
        <v>0</v>
      </c>
      <c r="C52" s="57">
        <v>0</v>
      </c>
      <c r="D52" s="57">
        <v>12742.254989999998</v>
      </c>
      <c r="E52" s="57">
        <v>13613.408398615868</v>
      </c>
      <c r="F52" s="57">
        <v>20862.714869999996</v>
      </c>
      <c r="G52" s="57">
        <v>22496.682996205447</v>
      </c>
      <c r="H52" s="58">
        <v>6.8367287367859353E-2</v>
      </c>
      <c r="I52" s="58">
        <v>7.8320014264061655E-2</v>
      </c>
      <c r="J52" s="58">
        <v>7.4546162227128177E-2</v>
      </c>
    </row>
    <row r="53" spans="1:10" ht="11.25" customHeight="1" x14ac:dyDescent="0.2">
      <c r="A53" s="67">
        <v>44531</v>
      </c>
      <c r="B53" s="57">
        <v>0</v>
      </c>
      <c r="C53" s="57">
        <v>0</v>
      </c>
      <c r="D53" s="57">
        <v>3225.1449599999996</v>
      </c>
      <c r="E53" s="57">
        <v>3445.6393722833222</v>
      </c>
      <c r="F53" s="57">
        <v>5280.4844799999992</v>
      </c>
      <c r="G53" s="57">
        <v>5694.0520997947551</v>
      </c>
      <c r="H53" s="58">
        <v>6.8367287367859131E-2</v>
      </c>
      <c r="I53" s="58">
        <v>7.8320014264061655E-2</v>
      </c>
      <c r="J53" s="58">
        <v>7.4546162227128177E-2</v>
      </c>
    </row>
    <row r="54" spans="1:10" ht="11.25" customHeight="1" x14ac:dyDescent="0.2">
      <c r="A54" s="67">
        <v>44562</v>
      </c>
      <c r="B54" s="57">
        <v>0</v>
      </c>
      <c r="C54" s="57">
        <v>0</v>
      </c>
      <c r="D54" s="57">
        <v>3193.4799899999998</v>
      </c>
      <c r="E54" s="57">
        <v>3411.809554179838</v>
      </c>
      <c r="F54" s="57">
        <v>5228.63987</v>
      </c>
      <c r="G54" s="57">
        <v>5638.1470192000415</v>
      </c>
      <c r="H54" s="58">
        <v>6.8367287367859131E-2</v>
      </c>
      <c r="I54" s="58">
        <v>7.8320014264061655E-2</v>
      </c>
      <c r="J54" s="58">
        <v>7.4546162227128399E-2</v>
      </c>
    </row>
    <row r="55" spans="1:10" ht="11.25" customHeight="1" x14ac:dyDescent="0.2">
      <c r="A55" s="67">
        <v>44593</v>
      </c>
      <c r="B55" s="57">
        <v>0</v>
      </c>
      <c r="C55" s="57">
        <v>0</v>
      </c>
      <c r="D55" s="57">
        <v>2985.0086699999997</v>
      </c>
      <c r="E55" s="57">
        <v>3189.0856155374408</v>
      </c>
      <c r="F55" s="57">
        <v>4887.3127100000002</v>
      </c>
      <c r="G55" s="57">
        <v>5270.08711116013</v>
      </c>
      <c r="H55" s="58">
        <v>6.8367287367859131E-2</v>
      </c>
      <c r="I55" s="58">
        <v>7.8320014264061655E-2</v>
      </c>
      <c r="J55" s="58">
        <v>7.4546162227128399E-2</v>
      </c>
    </row>
    <row r="56" spans="1:10" ht="11.25" customHeight="1" x14ac:dyDescent="0.2">
      <c r="A56" s="67">
        <v>44621</v>
      </c>
      <c r="B56" s="57">
        <v>0</v>
      </c>
      <c r="C56" s="57">
        <v>0</v>
      </c>
      <c r="D56" s="57">
        <v>3338.6213699999998</v>
      </c>
      <c r="E56" s="57">
        <v>3566.8738566152656</v>
      </c>
      <c r="F56" s="57">
        <v>5466.2778099999996</v>
      </c>
      <c r="G56" s="57">
        <v>5894.3967660505241</v>
      </c>
      <c r="H56" s="58">
        <v>6.8367287367859131E-2</v>
      </c>
      <c r="I56" s="58">
        <v>7.8320014264061877E-2</v>
      </c>
      <c r="J56" s="58">
        <v>7.4546162227128399E-2</v>
      </c>
    </row>
    <row r="57" spans="1:10" ht="11.25" customHeight="1" x14ac:dyDescent="0.2">
      <c r="A57" s="66" t="s">
        <v>25</v>
      </c>
      <c r="B57" s="57">
        <v>26540</v>
      </c>
      <c r="C57" s="57">
        <v>33942.471551659997</v>
      </c>
      <c r="D57" s="57">
        <v>0</v>
      </c>
      <c r="E57" s="57">
        <v>0</v>
      </c>
      <c r="F57" s="57">
        <v>0</v>
      </c>
      <c r="G57" s="57">
        <v>0</v>
      </c>
      <c r="H57" s="58">
        <v>0.27891754150941961</v>
      </c>
      <c r="I57" s="58">
        <v>0</v>
      </c>
      <c r="J57" s="58">
        <v>0.27891754150941961</v>
      </c>
    </row>
    <row r="58" spans="1:10" ht="11.25" customHeight="1" x14ac:dyDescent="0.2">
      <c r="A58" s="67">
        <v>44531</v>
      </c>
      <c r="B58" s="57">
        <v>6635</v>
      </c>
      <c r="C58" s="57">
        <v>8485.6178879149993</v>
      </c>
      <c r="D58" s="57">
        <v>0</v>
      </c>
      <c r="E58" s="57">
        <v>0</v>
      </c>
      <c r="F58" s="57">
        <v>0</v>
      </c>
      <c r="G58" s="57">
        <v>0</v>
      </c>
      <c r="H58" s="58">
        <v>0.27891754150941961</v>
      </c>
      <c r="I58" s="58">
        <v>0</v>
      </c>
      <c r="J58" s="58">
        <v>0.27891754150941961</v>
      </c>
    </row>
    <row r="59" spans="1:10" ht="11.25" customHeight="1" x14ac:dyDescent="0.2">
      <c r="A59" s="67">
        <v>44562</v>
      </c>
      <c r="B59" s="57">
        <v>6635</v>
      </c>
      <c r="C59" s="57">
        <v>8485.6178879149993</v>
      </c>
      <c r="D59" s="57">
        <v>0</v>
      </c>
      <c r="E59" s="57">
        <v>0</v>
      </c>
      <c r="F59" s="57">
        <v>0</v>
      </c>
      <c r="G59" s="57">
        <v>0</v>
      </c>
      <c r="H59" s="58">
        <v>0.27891754150941961</v>
      </c>
      <c r="I59" s="58">
        <v>0</v>
      </c>
      <c r="J59" s="58">
        <v>0.27891754150941961</v>
      </c>
    </row>
    <row r="60" spans="1:10" ht="11.25" customHeight="1" x14ac:dyDescent="0.2">
      <c r="A60" s="67">
        <v>44593</v>
      </c>
      <c r="B60" s="57">
        <v>6635</v>
      </c>
      <c r="C60" s="57">
        <v>8485.6178879149993</v>
      </c>
      <c r="D60" s="57">
        <v>0</v>
      </c>
      <c r="E60" s="57">
        <v>0</v>
      </c>
      <c r="F60" s="57">
        <v>0</v>
      </c>
      <c r="G60" s="57">
        <v>0</v>
      </c>
      <c r="H60" s="58">
        <v>0.27891754150941961</v>
      </c>
      <c r="I60" s="58">
        <v>0</v>
      </c>
      <c r="J60" s="58">
        <v>0.27891754150941961</v>
      </c>
    </row>
    <row r="61" spans="1:10" ht="11.25" customHeight="1" x14ac:dyDescent="0.2">
      <c r="A61" s="67">
        <v>44621</v>
      </c>
      <c r="B61" s="57">
        <v>6635</v>
      </c>
      <c r="C61" s="57">
        <v>8485.6178879149993</v>
      </c>
      <c r="D61" s="57">
        <v>0</v>
      </c>
      <c r="E61" s="57">
        <v>0</v>
      </c>
      <c r="F61" s="57">
        <v>0</v>
      </c>
      <c r="G61" s="57">
        <v>0</v>
      </c>
      <c r="H61" s="58">
        <v>0.27891754150941961</v>
      </c>
      <c r="I61" s="58">
        <v>0</v>
      </c>
      <c r="J61" s="58">
        <v>0.27891754150941961</v>
      </c>
    </row>
    <row r="62" spans="1:10" ht="11.25" customHeight="1" x14ac:dyDescent="0.2">
      <c r="A62" s="66" t="s">
        <v>38</v>
      </c>
      <c r="B62" s="57">
        <v>0</v>
      </c>
      <c r="C62" s="57">
        <v>0</v>
      </c>
      <c r="D62" s="57">
        <v>4464.6578100000006</v>
      </c>
      <c r="E62" s="57">
        <v>5748.3898723944949</v>
      </c>
      <c r="F62" s="57">
        <v>242.68119000000002</v>
      </c>
      <c r="G62" s="57">
        <v>261.68798426241949</v>
      </c>
      <c r="H62" s="58">
        <v>0.28753201634382242</v>
      </c>
      <c r="I62" s="58">
        <v>7.8320014264061655E-2</v>
      </c>
      <c r="J62" s="58">
        <v>0.27674634366824091</v>
      </c>
    </row>
    <row r="63" spans="1:10" ht="11.25" customHeight="1" x14ac:dyDescent="0.2">
      <c r="A63" s="67">
        <v>44531</v>
      </c>
      <c r="B63" s="57">
        <v>0</v>
      </c>
      <c r="C63" s="57">
        <v>0</v>
      </c>
      <c r="D63" s="57">
        <v>1187.6064000000001</v>
      </c>
      <c r="E63" s="57">
        <v>1529.0812628148281</v>
      </c>
      <c r="F63" s="57">
        <v>64.553600000000003</v>
      </c>
      <c r="G63" s="57">
        <v>69.609438872796531</v>
      </c>
      <c r="H63" s="58">
        <v>0.28753201634382219</v>
      </c>
      <c r="I63" s="58">
        <v>7.8320014264061655E-2</v>
      </c>
      <c r="J63" s="58">
        <v>0.27674634366824091</v>
      </c>
    </row>
    <row r="64" spans="1:10" ht="11.25" customHeight="1" x14ac:dyDescent="0.2">
      <c r="A64" s="67">
        <v>44562</v>
      </c>
      <c r="B64" s="57">
        <v>0</v>
      </c>
      <c r="C64" s="57">
        <v>0</v>
      </c>
      <c r="D64" s="57">
        <v>1139.35989</v>
      </c>
      <c r="E64" s="57">
        <v>1466.9623365129758</v>
      </c>
      <c r="F64" s="57">
        <v>61.931109999999997</v>
      </c>
      <c r="G64" s="57">
        <v>66.781555418589164</v>
      </c>
      <c r="H64" s="58">
        <v>0.28753201634382242</v>
      </c>
      <c r="I64" s="58">
        <v>7.8320014264061655E-2</v>
      </c>
      <c r="J64" s="58">
        <v>0.27674634366824113</v>
      </c>
    </row>
    <row r="65" spans="1:10" ht="11.25" customHeight="1" x14ac:dyDescent="0.2">
      <c r="A65" s="67">
        <v>44593</v>
      </c>
      <c r="B65" s="57">
        <v>0</v>
      </c>
      <c r="C65" s="57">
        <v>0</v>
      </c>
      <c r="D65" s="57">
        <v>987.19782000000009</v>
      </c>
      <c r="E65" s="57">
        <v>1271.0487997148259</v>
      </c>
      <c r="F65" s="57">
        <v>53.660179999999997</v>
      </c>
      <c r="G65" s="57">
        <v>57.862846063012114</v>
      </c>
      <c r="H65" s="58">
        <v>0.28753201634382242</v>
      </c>
      <c r="I65" s="58">
        <v>7.8320014264061655E-2</v>
      </c>
      <c r="J65" s="58">
        <v>0.27674634366824069</v>
      </c>
    </row>
    <row r="66" spans="1:10" ht="11.25" customHeight="1" x14ac:dyDescent="0.2">
      <c r="A66" s="67">
        <v>44621</v>
      </c>
      <c r="B66" s="57">
        <v>0</v>
      </c>
      <c r="C66" s="57">
        <v>0</v>
      </c>
      <c r="D66" s="57">
        <v>1150.4937</v>
      </c>
      <c r="E66" s="57">
        <v>1481.2974733518647</v>
      </c>
      <c r="F66" s="57">
        <v>62.536299999999997</v>
      </c>
      <c r="G66" s="57">
        <v>67.434143908021639</v>
      </c>
      <c r="H66" s="58">
        <v>0.28753201634382242</v>
      </c>
      <c r="I66" s="58">
        <v>7.8320014264061655E-2</v>
      </c>
      <c r="J66" s="58">
        <v>0.27674634366824113</v>
      </c>
    </row>
    <row r="67" spans="1:10" ht="11.25" customHeight="1" x14ac:dyDescent="0.2">
      <c r="A67" s="62" t="s">
        <v>41</v>
      </c>
      <c r="B67" s="57">
        <v>50956.799999999996</v>
      </c>
      <c r="C67" s="57">
        <v>65169.545379187206</v>
      </c>
      <c r="D67" s="57">
        <v>30597.111273600007</v>
      </c>
      <c r="E67" s="57">
        <v>34952.620411003452</v>
      </c>
      <c r="F67" s="57">
        <v>33746.750025600006</v>
      </c>
      <c r="G67" s="57">
        <v>36389.795968970728</v>
      </c>
      <c r="H67" s="58">
        <v>0.22768073568289315</v>
      </c>
      <c r="I67" s="58">
        <v>7.8320014264061877E-2</v>
      </c>
      <c r="J67" s="58">
        <v>0.18396512405873366</v>
      </c>
    </row>
    <row r="68" spans="1:10" ht="11.25" customHeight="1" x14ac:dyDescent="0.2">
      <c r="A68" s="63" t="s">
        <v>25</v>
      </c>
      <c r="B68" s="57">
        <v>50956.799999999996</v>
      </c>
      <c r="C68" s="57">
        <v>65169.545379187206</v>
      </c>
      <c r="D68" s="57">
        <v>30597.111273600007</v>
      </c>
      <c r="E68" s="57">
        <v>34952.620411003452</v>
      </c>
      <c r="F68" s="57">
        <v>33746.750025600006</v>
      </c>
      <c r="G68" s="57">
        <v>36389.795968970728</v>
      </c>
      <c r="H68" s="58">
        <v>0.22768073568289315</v>
      </c>
      <c r="I68" s="58">
        <v>7.8320014264061877E-2</v>
      </c>
      <c r="J68" s="58">
        <v>0.18396512405873366</v>
      </c>
    </row>
    <row r="69" spans="1:10" ht="11.25" customHeight="1" x14ac:dyDescent="0.2">
      <c r="A69" s="64" t="s">
        <v>25</v>
      </c>
      <c r="B69" s="57">
        <v>50956.799999999996</v>
      </c>
      <c r="C69" s="57">
        <v>65169.545379187206</v>
      </c>
      <c r="D69" s="57">
        <v>30597.111273600007</v>
      </c>
      <c r="E69" s="57">
        <v>34952.620411003452</v>
      </c>
      <c r="F69" s="57">
        <v>33746.750025600006</v>
      </c>
      <c r="G69" s="57">
        <v>36389.795968970728</v>
      </c>
      <c r="H69" s="58">
        <v>0.22768073568289315</v>
      </c>
      <c r="I69" s="58">
        <v>7.8320014264061877E-2</v>
      </c>
      <c r="J69" s="58">
        <v>0.18396512405873366</v>
      </c>
    </row>
    <row r="70" spans="1:10" ht="11.25" customHeight="1" x14ac:dyDescent="0.2">
      <c r="A70" s="65" t="s">
        <v>25</v>
      </c>
      <c r="B70" s="57">
        <v>50956.799999999996</v>
      </c>
      <c r="C70" s="57">
        <v>65169.545379187206</v>
      </c>
      <c r="D70" s="57">
        <v>30597.111273600007</v>
      </c>
      <c r="E70" s="57">
        <v>34952.620411003452</v>
      </c>
      <c r="F70" s="57">
        <v>33746.750025600006</v>
      </c>
      <c r="G70" s="57">
        <v>36389.795968970728</v>
      </c>
      <c r="H70" s="58">
        <v>0.22768073568289315</v>
      </c>
      <c r="I70" s="58">
        <v>7.8320014264061877E-2</v>
      </c>
      <c r="J70" s="58">
        <v>0.18396512405873366</v>
      </c>
    </row>
    <row r="71" spans="1:10" ht="11.25" customHeight="1" x14ac:dyDescent="0.2">
      <c r="A71" s="66" t="s">
        <v>39</v>
      </c>
      <c r="B71" s="57">
        <v>0</v>
      </c>
      <c r="C71" s="57">
        <v>0</v>
      </c>
      <c r="D71" s="57">
        <v>20268.498412800003</v>
      </c>
      <c r="E71" s="57">
        <v>21654.200668302896</v>
      </c>
      <c r="F71" s="57">
        <v>33185.327366400001</v>
      </c>
      <c r="G71" s="57">
        <v>35784.402679094004</v>
      </c>
      <c r="H71" s="58">
        <v>6.8367287367859131E-2</v>
      </c>
      <c r="I71" s="58">
        <v>7.8320014264061655E-2</v>
      </c>
      <c r="J71" s="58">
        <v>7.4546162227128177E-2</v>
      </c>
    </row>
    <row r="72" spans="1:10" ht="11.25" customHeight="1" x14ac:dyDescent="0.2">
      <c r="A72" s="67">
        <v>44287</v>
      </c>
      <c r="B72" s="57">
        <v>0</v>
      </c>
      <c r="C72" s="57">
        <v>0</v>
      </c>
      <c r="D72" s="57">
        <v>3005.6537376000001</v>
      </c>
      <c r="E72" s="57">
        <v>3211.1421304067794</v>
      </c>
      <c r="F72" s="57">
        <v>4921.1145888000001</v>
      </c>
      <c r="G72" s="57">
        <v>5306.5363535898978</v>
      </c>
      <c r="H72" s="58">
        <v>6.8367287367859131E-2</v>
      </c>
      <c r="I72" s="58">
        <v>7.8320014264061655E-2</v>
      </c>
      <c r="J72" s="58">
        <v>7.4546162227128177E-2</v>
      </c>
    </row>
    <row r="73" spans="1:10" ht="11.25" customHeight="1" x14ac:dyDescent="0.2">
      <c r="A73" s="67">
        <v>44317</v>
      </c>
      <c r="B73" s="57">
        <v>0</v>
      </c>
      <c r="C73" s="57">
        <v>0</v>
      </c>
      <c r="D73" s="57">
        <v>2589.8939135999999</v>
      </c>
      <c r="E73" s="57">
        <v>2766.9579350433605</v>
      </c>
      <c r="F73" s="57">
        <v>4240.3968767999995</v>
      </c>
      <c r="G73" s="57">
        <v>4572.5048206762585</v>
      </c>
      <c r="H73" s="58">
        <v>6.8367287367859131E-2</v>
      </c>
      <c r="I73" s="58">
        <v>7.8320014264061877E-2</v>
      </c>
      <c r="J73" s="58">
        <v>7.4546162227128399E-2</v>
      </c>
    </row>
    <row r="74" spans="1:10" ht="11.25" customHeight="1" x14ac:dyDescent="0.2">
      <c r="A74" s="67">
        <v>44348</v>
      </c>
      <c r="B74" s="57">
        <v>0</v>
      </c>
      <c r="C74" s="57">
        <v>0</v>
      </c>
      <c r="D74" s="57">
        <v>2453.5152287999999</v>
      </c>
      <c r="E74" s="57">
        <v>2621.2554095087885</v>
      </c>
      <c r="F74" s="57">
        <v>4017.1059743999999</v>
      </c>
      <c r="G74" s="57">
        <v>4331.7257716152553</v>
      </c>
      <c r="H74" s="58">
        <v>6.8367287367859353E-2</v>
      </c>
      <c r="I74" s="58">
        <v>7.8320014264061655E-2</v>
      </c>
      <c r="J74" s="58">
        <v>7.4546162227128177E-2</v>
      </c>
    </row>
    <row r="75" spans="1:10" ht="11.25" customHeight="1" x14ac:dyDescent="0.2">
      <c r="A75" s="67">
        <v>44378</v>
      </c>
      <c r="B75" s="57">
        <v>0</v>
      </c>
      <c r="C75" s="57">
        <v>0</v>
      </c>
      <c r="D75" s="57">
        <v>2246.7589919999996</v>
      </c>
      <c r="E75" s="57">
        <v>2400.3638096523855</v>
      </c>
      <c r="F75" s="57">
        <v>3678.5868959999998</v>
      </c>
      <c r="G75" s="57">
        <v>3966.6938741663098</v>
      </c>
      <c r="H75" s="58">
        <v>6.8367287367859353E-2</v>
      </c>
      <c r="I75" s="58">
        <v>7.8320014264061655E-2</v>
      </c>
      <c r="J75" s="58">
        <v>7.4546162227128177E-2</v>
      </c>
    </row>
    <row r="76" spans="1:10" ht="11.25" customHeight="1" x14ac:dyDescent="0.2">
      <c r="A76" s="67">
        <v>44409</v>
      </c>
      <c r="B76" s="57">
        <v>0</v>
      </c>
      <c r="C76" s="57">
        <v>0</v>
      </c>
      <c r="D76" s="57">
        <v>2273.2540703999998</v>
      </c>
      <c r="E76" s="57">
        <v>2428.6702846911926</v>
      </c>
      <c r="F76" s="57">
        <v>3721.9669152000001</v>
      </c>
      <c r="G76" s="57">
        <v>4013.4714170888296</v>
      </c>
      <c r="H76" s="58">
        <v>6.8367287367859353E-2</v>
      </c>
      <c r="I76" s="58">
        <v>7.8320014264061655E-2</v>
      </c>
      <c r="J76" s="58">
        <v>7.4546162227128399E-2</v>
      </c>
    </row>
    <row r="77" spans="1:10" ht="11.25" customHeight="1" x14ac:dyDescent="0.2">
      <c r="A77" s="67">
        <v>44440</v>
      </c>
      <c r="B77" s="57">
        <v>0</v>
      </c>
      <c r="C77" s="57">
        <v>0</v>
      </c>
      <c r="D77" s="57">
        <v>2395.2024000000001</v>
      </c>
      <c r="E77" s="57">
        <v>2558.955890784986</v>
      </c>
      <c r="F77" s="57">
        <v>3921.6312000000003</v>
      </c>
      <c r="G77" s="57">
        <v>4228.7734115223893</v>
      </c>
      <c r="H77" s="58">
        <v>6.8367287367859131E-2</v>
      </c>
      <c r="I77" s="58">
        <v>7.8320014264061655E-2</v>
      </c>
      <c r="J77" s="58">
        <v>7.4546162227128399E-2</v>
      </c>
    </row>
    <row r="78" spans="1:10" ht="11.25" customHeight="1" x14ac:dyDescent="0.2">
      <c r="A78" s="67">
        <v>44470</v>
      </c>
      <c r="B78" s="57">
        <v>0</v>
      </c>
      <c r="C78" s="57">
        <v>0</v>
      </c>
      <c r="D78" s="57">
        <v>2545.5383136</v>
      </c>
      <c r="E78" s="57">
        <v>2719.569862991787</v>
      </c>
      <c r="F78" s="57">
        <v>4167.7740768000003</v>
      </c>
      <c r="G78" s="57">
        <v>4494.1942019443622</v>
      </c>
      <c r="H78" s="58">
        <v>6.8367287367859131E-2</v>
      </c>
      <c r="I78" s="58">
        <v>7.8320014264061433E-2</v>
      </c>
      <c r="J78" s="58">
        <v>7.4546162227128399E-2</v>
      </c>
    </row>
    <row r="79" spans="1:10" ht="11.25" customHeight="1" x14ac:dyDescent="0.2">
      <c r="A79" s="67">
        <v>44501</v>
      </c>
      <c r="B79" s="57">
        <v>0</v>
      </c>
      <c r="C79" s="57">
        <v>0</v>
      </c>
      <c r="D79" s="57">
        <v>2758.6817568000001</v>
      </c>
      <c r="E79" s="57">
        <v>2947.2853452236163</v>
      </c>
      <c r="F79" s="57">
        <v>4516.7508384000002</v>
      </c>
      <c r="G79" s="57">
        <v>4870.5028284907003</v>
      </c>
      <c r="H79" s="58">
        <v>6.8367287367859131E-2</v>
      </c>
      <c r="I79" s="58">
        <v>7.8320014264061655E-2</v>
      </c>
      <c r="J79" s="58">
        <v>7.4546162227128399E-2</v>
      </c>
    </row>
    <row r="80" spans="1:10" ht="11.25" customHeight="1" x14ac:dyDescent="0.2">
      <c r="A80" s="66" t="s">
        <v>25</v>
      </c>
      <c r="B80" s="57">
        <v>50956.799999999996</v>
      </c>
      <c r="C80" s="57">
        <v>65169.545379187206</v>
      </c>
      <c r="D80" s="57">
        <v>0</v>
      </c>
      <c r="E80" s="57">
        <v>0</v>
      </c>
      <c r="F80" s="57">
        <v>0</v>
      </c>
      <c r="G80" s="57">
        <v>0</v>
      </c>
      <c r="H80" s="58">
        <v>0.27891754150942005</v>
      </c>
      <c r="I80" s="58">
        <v>0</v>
      </c>
      <c r="J80" s="58">
        <v>0.27891754150942005</v>
      </c>
    </row>
    <row r="81" spans="1:10" ht="11.25" customHeight="1" x14ac:dyDescent="0.2">
      <c r="A81" s="67">
        <v>44287</v>
      </c>
      <c r="B81" s="57">
        <v>6369.5999999999995</v>
      </c>
      <c r="C81" s="57">
        <v>8146.1931723983998</v>
      </c>
      <c r="D81" s="57">
        <v>0</v>
      </c>
      <c r="E81" s="57">
        <v>0</v>
      </c>
      <c r="F81" s="57">
        <v>0</v>
      </c>
      <c r="G81" s="57">
        <v>0</v>
      </c>
      <c r="H81" s="58">
        <v>0.27891754150941983</v>
      </c>
      <c r="I81" s="58">
        <v>0</v>
      </c>
      <c r="J81" s="58">
        <v>0.27891754150941983</v>
      </c>
    </row>
    <row r="82" spans="1:10" ht="11.25" customHeight="1" x14ac:dyDescent="0.2">
      <c r="A82" s="67">
        <v>44317</v>
      </c>
      <c r="B82" s="57">
        <v>6369.5999999999995</v>
      </c>
      <c r="C82" s="57">
        <v>8146.1931723983998</v>
      </c>
      <c r="D82" s="57">
        <v>0</v>
      </c>
      <c r="E82" s="57">
        <v>0</v>
      </c>
      <c r="F82" s="57">
        <v>0</v>
      </c>
      <c r="G82" s="57">
        <v>0</v>
      </c>
      <c r="H82" s="58">
        <v>0.27891754150941983</v>
      </c>
      <c r="I82" s="58">
        <v>0</v>
      </c>
      <c r="J82" s="58">
        <v>0.27891754150941983</v>
      </c>
    </row>
    <row r="83" spans="1:10" ht="11.25" customHeight="1" x14ac:dyDescent="0.2">
      <c r="A83" s="67">
        <v>44348</v>
      </c>
      <c r="B83" s="57">
        <v>6369.5999999999995</v>
      </c>
      <c r="C83" s="57">
        <v>8146.1931723983998</v>
      </c>
      <c r="D83" s="57">
        <v>0</v>
      </c>
      <c r="E83" s="57">
        <v>0</v>
      </c>
      <c r="F83" s="57">
        <v>0</v>
      </c>
      <c r="G83" s="57">
        <v>0</v>
      </c>
      <c r="H83" s="58">
        <v>0.27891754150941983</v>
      </c>
      <c r="I83" s="58">
        <v>0</v>
      </c>
      <c r="J83" s="58">
        <v>0.27891754150941983</v>
      </c>
    </row>
    <row r="84" spans="1:10" ht="11.25" customHeight="1" x14ac:dyDescent="0.2">
      <c r="A84" s="67">
        <v>44378</v>
      </c>
      <c r="B84" s="57">
        <v>6369.5999999999995</v>
      </c>
      <c r="C84" s="57">
        <v>8146.1931723983998</v>
      </c>
      <c r="D84" s="57">
        <v>0</v>
      </c>
      <c r="E84" s="57">
        <v>0</v>
      </c>
      <c r="F84" s="57">
        <v>0</v>
      </c>
      <c r="G84" s="57">
        <v>0</v>
      </c>
      <c r="H84" s="58">
        <v>0.27891754150941983</v>
      </c>
      <c r="I84" s="58">
        <v>0</v>
      </c>
      <c r="J84" s="58">
        <v>0.27891754150941983</v>
      </c>
    </row>
    <row r="85" spans="1:10" ht="11.25" customHeight="1" x14ac:dyDescent="0.2">
      <c r="A85" s="67">
        <v>44409</v>
      </c>
      <c r="B85" s="57">
        <v>6369.5999999999995</v>
      </c>
      <c r="C85" s="57">
        <v>8146.1931723983998</v>
      </c>
      <c r="D85" s="57">
        <v>0</v>
      </c>
      <c r="E85" s="57">
        <v>0</v>
      </c>
      <c r="F85" s="57">
        <v>0</v>
      </c>
      <c r="G85" s="57">
        <v>0</v>
      </c>
      <c r="H85" s="58">
        <v>0.27891754150941983</v>
      </c>
      <c r="I85" s="58">
        <v>0</v>
      </c>
      <c r="J85" s="58">
        <v>0.27891754150941983</v>
      </c>
    </row>
    <row r="86" spans="1:10" ht="11.25" customHeight="1" x14ac:dyDescent="0.2">
      <c r="A86" s="67">
        <v>44440</v>
      </c>
      <c r="B86" s="57">
        <v>6369.5999999999995</v>
      </c>
      <c r="C86" s="57">
        <v>8146.1931723983998</v>
      </c>
      <c r="D86" s="57">
        <v>0</v>
      </c>
      <c r="E86" s="57">
        <v>0</v>
      </c>
      <c r="F86" s="57">
        <v>0</v>
      </c>
      <c r="G86" s="57">
        <v>0</v>
      </c>
      <c r="H86" s="58">
        <v>0.27891754150941983</v>
      </c>
      <c r="I86" s="58">
        <v>0</v>
      </c>
      <c r="J86" s="58">
        <v>0.27891754150941983</v>
      </c>
    </row>
    <row r="87" spans="1:10" ht="11.25" customHeight="1" x14ac:dyDescent="0.2">
      <c r="A87" s="67">
        <v>44470</v>
      </c>
      <c r="B87" s="57">
        <v>6369.5999999999995</v>
      </c>
      <c r="C87" s="57">
        <v>8146.1931723983998</v>
      </c>
      <c r="D87" s="57">
        <v>0</v>
      </c>
      <c r="E87" s="57">
        <v>0</v>
      </c>
      <c r="F87" s="57">
        <v>0</v>
      </c>
      <c r="G87" s="57">
        <v>0</v>
      </c>
      <c r="H87" s="58">
        <v>0.27891754150941983</v>
      </c>
      <c r="I87" s="58">
        <v>0</v>
      </c>
      <c r="J87" s="58">
        <v>0.27891754150941983</v>
      </c>
    </row>
    <row r="88" spans="1:10" ht="11.25" customHeight="1" x14ac:dyDescent="0.2">
      <c r="A88" s="67">
        <v>44501</v>
      </c>
      <c r="B88" s="57">
        <v>6369.5999999999995</v>
      </c>
      <c r="C88" s="57">
        <v>8146.1931723983998</v>
      </c>
      <c r="D88" s="57">
        <v>0</v>
      </c>
      <c r="E88" s="57">
        <v>0</v>
      </c>
      <c r="F88" s="57">
        <v>0</v>
      </c>
      <c r="G88" s="57">
        <v>0</v>
      </c>
      <c r="H88" s="58">
        <v>0.27891754150941983</v>
      </c>
      <c r="I88" s="58">
        <v>0</v>
      </c>
      <c r="J88" s="58">
        <v>0.27891754150941983</v>
      </c>
    </row>
    <row r="89" spans="1:10" ht="11.25" customHeight="1" x14ac:dyDescent="0.2">
      <c r="A89" s="66" t="s">
        <v>38</v>
      </c>
      <c r="B89" s="57">
        <v>0</v>
      </c>
      <c r="C89" s="57">
        <v>0</v>
      </c>
      <c r="D89" s="57">
        <v>10328.6128608</v>
      </c>
      <c r="E89" s="57">
        <v>13298.41974270056</v>
      </c>
      <c r="F89" s="57">
        <v>561.4226592</v>
      </c>
      <c r="G89" s="57">
        <v>605.39328987671138</v>
      </c>
      <c r="H89" s="58">
        <v>0.28753201634382242</v>
      </c>
      <c r="I89" s="58">
        <v>7.8320014264061655E-2</v>
      </c>
      <c r="J89" s="58">
        <v>0.27674634366824091</v>
      </c>
    </row>
    <row r="90" spans="1:10" ht="11.25" customHeight="1" x14ac:dyDescent="0.2">
      <c r="A90" s="67">
        <v>44287</v>
      </c>
      <c r="B90" s="57">
        <v>0</v>
      </c>
      <c r="C90" s="57">
        <v>0</v>
      </c>
      <c r="D90" s="57">
        <v>1346.7456576</v>
      </c>
      <c r="E90" s="57">
        <v>1733.978152032015</v>
      </c>
      <c r="F90" s="57">
        <v>73.203782399999994</v>
      </c>
      <c r="G90" s="57">
        <v>78.937103681751253</v>
      </c>
      <c r="H90" s="58">
        <v>0.28753201634382242</v>
      </c>
      <c r="I90" s="58">
        <v>7.8320014264061655E-2</v>
      </c>
      <c r="J90" s="58">
        <v>0.27674634366824113</v>
      </c>
    </row>
    <row r="91" spans="1:10" ht="11.25" customHeight="1" x14ac:dyDescent="0.2">
      <c r="A91" s="67">
        <v>44317</v>
      </c>
      <c r="B91" s="57">
        <v>0</v>
      </c>
      <c r="C91" s="57">
        <v>0</v>
      </c>
      <c r="D91" s="57">
        <v>1385.9366688</v>
      </c>
      <c r="E91" s="57">
        <v>1784.4378337049043</v>
      </c>
      <c r="F91" s="57">
        <v>75.33405119999999</v>
      </c>
      <c r="G91" s="57">
        <v>81.234215164553547</v>
      </c>
      <c r="H91" s="58">
        <v>0.28753201634382242</v>
      </c>
      <c r="I91" s="58">
        <v>7.8320014264061655E-2</v>
      </c>
      <c r="J91" s="58">
        <v>0.27674634366824091</v>
      </c>
    </row>
    <row r="92" spans="1:10" ht="11.25" customHeight="1" x14ac:dyDescent="0.2">
      <c r="A92" s="67">
        <v>44348</v>
      </c>
      <c r="B92" s="57">
        <v>0</v>
      </c>
      <c r="C92" s="57">
        <v>0</v>
      </c>
      <c r="D92" s="57">
        <v>1418.0020416</v>
      </c>
      <c r="E92" s="57">
        <v>1825.7230278009047</v>
      </c>
      <c r="F92" s="57">
        <v>77.076998399999994</v>
      </c>
      <c r="G92" s="57">
        <v>83.113670014119052</v>
      </c>
      <c r="H92" s="58">
        <v>0.28753201634382242</v>
      </c>
      <c r="I92" s="58">
        <v>7.8320014264061655E-2</v>
      </c>
      <c r="J92" s="58">
        <v>0.27674634366824069</v>
      </c>
    </row>
    <row r="93" spans="1:10" ht="11.25" customHeight="1" x14ac:dyDescent="0.2">
      <c r="A93" s="67">
        <v>44378</v>
      </c>
      <c r="B93" s="57">
        <v>0</v>
      </c>
      <c r="C93" s="57">
        <v>0</v>
      </c>
      <c r="D93" s="57">
        <v>1784.9724191999999</v>
      </c>
      <c r="E93" s="57">
        <v>2298.2091380106867</v>
      </c>
      <c r="F93" s="57">
        <v>97.024060800000001</v>
      </c>
      <c r="G93" s="57">
        <v>104.62298662581318</v>
      </c>
      <c r="H93" s="58">
        <v>0.28753201634382264</v>
      </c>
      <c r="I93" s="58">
        <v>7.8320014264061655E-2</v>
      </c>
      <c r="J93" s="58">
        <v>0.27674634366824113</v>
      </c>
    </row>
    <row r="94" spans="1:10" ht="11.25" customHeight="1" x14ac:dyDescent="0.2">
      <c r="A94" s="67">
        <v>44409</v>
      </c>
      <c r="B94" s="57">
        <v>0</v>
      </c>
      <c r="C94" s="57">
        <v>0</v>
      </c>
      <c r="D94" s="57">
        <v>1072.4085792000001</v>
      </c>
      <c r="E94" s="57">
        <v>1380.7603803217896</v>
      </c>
      <c r="F94" s="57">
        <v>58.291900799999993</v>
      </c>
      <c r="G94" s="57">
        <v>62.857323302135264</v>
      </c>
      <c r="H94" s="58">
        <v>0.28753201634382219</v>
      </c>
      <c r="I94" s="58">
        <v>7.8320014264061655E-2</v>
      </c>
      <c r="J94" s="58">
        <v>0.27674634366824091</v>
      </c>
    </row>
    <row r="95" spans="1:10" ht="11.25" customHeight="1" x14ac:dyDescent="0.2">
      <c r="A95" s="67">
        <v>44440</v>
      </c>
      <c r="B95" s="57">
        <v>0</v>
      </c>
      <c r="C95" s="57">
        <v>0</v>
      </c>
      <c r="D95" s="57">
        <v>965.52400320000004</v>
      </c>
      <c r="E95" s="57">
        <v>1243.1430666684553</v>
      </c>
      <c r="F95" s="57">
        <v>52.482076799999994</v>
      </c>
      <c r="G95" s="57">
        <v>56.59247380358358</v>
      </c>
      <c r="H95" s="58">
        <v>0.28753201634382242</v>
      </c>
      <c r="I95" s="58">
        <v>7.8320014264061877E-2</v>
      </c>
      <c r="J95" s="58">
        <v>0.27674634366824091</v>
      </c>
    </row>
    <row r="96" spans="1:10" ht="11.25" customHeight="1" x14ac:dyDescent="0.2">
      <c r="A96" s="67">
        <v>44470</v>
      </c>
      <c r="B96" s="57">
        <v>0</v>
      </c>
      <c r="C96" s="57">
        <v>0</v>
      </c>
      <c r="D96" s="57">
        <v>1143.6649631999999</v>
      </c>
      <c r="E96" s="57">
        <v>1472.5052560906795</v>
      </c>
      <c r="F96" s="57">
        <v>62.165116799999993</v>
      </c>
      <c r="G96" s="57">
        <v>67.033889634503055</v>
      </c>
      <c r="H96" s="58">
        <v>0.28753201634382264</v>
      </c>
      <c r="I96" s="58">
        <v>7.8320014264061655E-2</v>
      </c>
      <c r="J96" s="58">
        <v>0.27674634366824113</v>
      </c>
    </row>
    <row r="97" spans="1:10" ht="11.25" customHeight="1" x14ac:dyDescent="0.2">
      <c r="A97" s="67">
        <v>44501</v>
      </c>
      <c r="B97" s="57">
        <v>0</v>
      </c>
      <c r="C97" s="57">
        <v>0</v>
      </c>
      <c r="D97" s="57">
        <v>1211.358528</v>
      </c>
      <c r="E97" s="57">
        <v>1559.6628880711248</v>
      </c>
      <c r="F97" s="57">
        <v>65.844672000000003</v>
      </c>
      <c r="G97" s="57">
        <v>71.001627650252459</v>
      </c>
      <c r="H97" s="58">
        <v>0.28753201634382264</v>
      </c>
      <c r="I97" s="58">
        <v>7.8320014264061655E-2</v>
      </c>
      <c r="J97" s="58">
        <v>0.27674634366824113</v>
      </c>
    </row>
    <row r="98" spans="1:10" ht="11.25" customHeight="1" x14ac:dyDescent="0.2">
      <c r="A98" s="60" t="s">
        <v>22</v>
      </c>
      <c r="B98" s="57">
        <v>0</v>
      </c>
      <c r="C98" s="57">
        <v>0</v>
      </c>
      <c r="D98" s="57">
        <v>7235536.7105</v>
      </c>
      <c r="E98" s="57">
        <v>9025069.1825962011</v>
      </c>
      <c r="F98" s="57">
        <v>1776142.4329200007</v>
      </c>
      <c r="G98" s="57">
        <v>1915249.3934697257</v>
      </c>
      <c r="H98" s="58">
        <v>0.24732546370738273</v>
      </c>
      <c r="I98" s="58">
        <v>7.8319710160311695E-2</v>
      </c>
      <c r="J98" s="58">
        <v>0.21401554604328665</v>
      </c>
    </row>
    <row r="99" spans="1:10" ht="11.25" customHeight="1" x14ac:dyDescent="0.2">
      <c r="A99" s="61" t="s">
        <v>23</v>
      </c>
      <c r="B99" s="57">
        <v>0</v>
      </c>
      <c r="C99" s="57">
        <v>0</v>
      </c>
      <c r="D99" s="57">
        <v>7235536.7105</v>
      </c>
      <c r="E99" s="57">
        <v>9025069.1825962011</v>
      </c>
      <c r="F99" s="57">
        <v>1776142.4329200007</v>
      </c>
      <c r="G99" s="57">
        <v>1915249.3934697257</v>
      </c>
      <c r="H99" s="58">
        <v>0.24732546370738273</v>
      </c>
      <c r="I99" s="58">
        <v>7.8319710160311695E-2</v>
      </c>
      <c r="J99" s="58">
        <v>0.21401554604328665</v>
      </c>
    </row>
    <row r="100" spans="1:10" ht="11.25" customHeight="1" x14ac:dyDescent="0.2">
      <c r="A100" s="62" t="s">
        <v>24</v>
      </c>
      <c r="B100" s="57">
        <v>0</v>
      </c>
      <c r="C100" s="57">
        <v>0</v>
      </c>
      <c r="D100" s="57">
        <v>7235536.7105</v>
      </c>
      <c r="E100" s="57">
        <v>9025069.1825962011</v>
      </c>
      <c r="F100" s="57">
        <v>1776142.4329200007</v>
      </c>
      <c r="G100" s="57">
        <v>1915249.3934697257</v>
      </c>
      <c r="H100" s="58">
        <v>0.24732546370738273</v>
      </c>
      <c r="I100" s="58">
        <v>7.8319710160311695E-2</v>
      </c>
      <c r="J100" s="58">
        <v>0.21401554604328665</v>
      </c>
    </row>
    <row r="101" spans="1:10" ht="11.25" customHeight="1" x14ac:dyDescent="0.2">
      <c r="A101" s="63" t="s">
        <v>24</v>
      </c>
      <c r="B101" s="57">
        <v>0</v>
      </c>
      <c r="C101" s="57">
        <v>0</v>
      </c>
      <c r="D101" s="57">
        <v>7138642.86864</v>
      </c>
      <c r="E101" s="57">
        <v>8902441.3950658422</v>
      </c>
      <c r="F101" s="57">
        <v>1748219.61528</v>
      </c>
      <c r="G101" s="57">
        <v>1885140.2004854418</v>
      </c>
      <c r="H101" s="58">
        <v>0.24707756906767209</v>
      </c>
      <c r="I101" s="58">
        <v>7.8320014264061655E-2</v>
      </c>
      <c r="J101" s="58">
        <v>0.21387965832378653</v>
      </c>
    </row>
    <row r="102" spans="1:10" ht="11.25" customHeight="1" x14ac:dyDescent="0.2">
      <c r="A102" s="64" t="s">
        <v>25</v>
      </c>
      <c r="B102" s="57">
        <v>0</v>
      </c>
      <c r="C102" s="57">
        <v>0</v>
      </c>
      <c r="D102" s="57">
        <v>7138642.86864</v>
      </c>
      <c r="E102" s="57">
        <v>8902441.3950658422</v>
      </c>
      <c r="F102" s="57">
        <v>1748219.61528</v>
      </c>
      <c r="G102" s="57">
        <v>1885140.2004854418</v>
      </c>
      <c r="H102" s="58">
        <v>0.24707756906767209</v>
      </c>
      <c r="I102" s="58">
        <v>7.8320014264061655E-2</v>
      </c>
      <c r="J102" s="58">
        <v>0.21387965832378653</v>
      </c>
    </row>
    <row r="103" spans="1:10" ht="11.25" customHeight="1" x14ac:dyDescent="0.2">
      <c r="A103" s="65" t="s">
        <v>25</v>
      </c>
      <c r="B103" s="57">
        <v>0</v>
      </c>
      <c r="C103" s="57">
        <v>0</v>
      </c>
      <c r="D103" s="57">
        <v>7138642.86864</v>
      </c>
      <c r="E103" s="57">
        <v>8902441.3950658422</v>
      </c>
      <c r="F103" s="57">
        <v>1748219.61528</v>
      </c>
      <c r="G103" s="57">
        <v>1885140.2004854418</v>
      </c>
      <c r="H103" s="58">
        <v>0.24707756906767209</v>
      </c>
      <c r="I103" s="58">
        <v>7.8320014264061655E-2</v>
      </c>
      <c r="J103" s="58">
        <v>0.21387965832378653</v>
      </c>
    </row>
    <row r="104" spans="1:10" ht="11.25" customHeight="1" x14ac:dyDescent="0.2">
      <c r="A104" s="66" t="s">
        <v>25</v>
      </c>
      <c r="B104" s="57">
        <v>0</v>
      </c>
      <c r="C104" s="57">
        <v>0</v>
      </c>
      <c r="D104" s="57">
        <v>7138642.86864</v>
      </c>
      <c r="E104" s="57">
        <v>8902441.3950658422</v>
      </c>
      <c r="F104" s="57">
        <v>1748219.61528</v>
      </c>
      <c r="G104" s="57">
        <v>1885140.2004854418</v>
      </c>
      <c r="H104" s="58">
        <v>0.24707756906767209</v>
      </c>
      <c r="I104" s="58">
        <v>7.8320014264061655E-2</v>
      </c>
      <c r="J104" s="58">
        <v>0.21387965832378653</v>
      </c>
    </row>
    <row r="105" spans="1:10" ht="11.25" customHeight="1" x14ac:dyDescent="0.2">
      <c r="A105" s="67">
        <v>44287</v>
      </c>
      <c r="B105" s="57">
        <v>0</v>
      </c>
      <c r="C105" s="57">
        <v>0</v>
      </c>
      <c r="D105" s="57">
        <v>600266.75165999995</v>
      </c>
      <c r="E105" s="57">
        <v>748579.20145230077</v>
      </c>
      <c r="F105" s="57">
        <v>147002.46656999999</v>
      </c>
      <c r="G105" s="57">
        <v>158515.70184861467</v>
      </c>
      <c r="H105" s="58">
        <v>0.24707756906767209</v>
      </c>
      <c r="I105" s="58">
        <v>7.8320014264061877E-2</v>
      </c>
      <c r="J105" s="58">
        <v>0.2138796583237863</v>
      </c>
    </row>
    <row r="106" spans="1:10" ht="11.25" customHeight="1" x14ac:dyDescent="0.2">
      <c r="A106" s="67">
        <v>44317</v>
      </c>
      <c r="B106" s="57">
        <v>0</v>
      </c>
      <c r="C106" s="57">
        <v>0</v>
      </c>
      <c r="D106" s="57">
        <v>563588.08068000013</v>
      </c>
      <c r="E106" s="57">
        <v>702838.0536099294</v>
      </c>
      <c r="F106" s="57">
        <v>138020.03485999999</v>
      </c>
      <c r="G106" s="57">
        <v>148829.76595896145</v>
      </c>
      <c r="H106" s="58">
        <v>0.24707756906767164</v>
      </c>
      <c r="I106" s="58">
        <v>7.8320014264061433E-2</v>
      </c>
      <c r="J106" s="58">
        <v>0.21387965832378608</v>
      </c>
    </row>
    <row r="107" spans="1:10" ht="11.25" customHeight="1" x14ac:dyDescent="0.2">
      <c r="A107" s="67">
        <v>44348</v>
      </c>
      <c r="B107" s="57">
        <v>0</v>
      </c>
      <c r="C107" s="57">
        <v>0</v>
      </c>
      <c r="D107" s="57">
        <v>567983.55732000002</v>
      </c>
      <c r="E107" s="57">
        <v>708319.5539330343</v>
      </c>
      <c r="F107" s="57">
        <v>139096.46613999997</v>
      </c>
      <c r="G107" s="57">
        <v>149990.50335216534</v>
      </c>
      <c r="H107" s="58">
        <v>0.24707756906767186</v>
      </c>
      <c r="I107" s="58">
        <v>7.8320014264061655E-2</v>
      </c>
      <c r="J107" s="58">
        <v>0.2138796583237863</v>
      </c>
    </row>
    <row r="108" spans="1:10" ht="11.25" customHeight="1" x14ac:dyDescent="0.2">
      <c r="A108" s="67">
        <v>44378</v>
      </c>
      <c r="B108" s="57">
        <v>0</v>
      </c>
      <c r="C108" s="57">
        <v>0</v>
      </c>
      <c r="D108" s="57">
        <v>538464.01067999995</v>
      </c>
      <c r="E108" s="57">
        <v>671506.38946924335</v>
      </c>
      <c r="F108" s="57">
        <v>131867.26985999997</v>
      </c>
      <c r="G108" s="57">
        <v>142195.11631639805</v>
      </c>
      <c r="H108" s="58">
        <v>0.24707756906767209</v>
      </c>
      <c r="I108" s="58">
        <v>7.8320014264061877E-2</v>
      </c>
      <c r="J108" s="58">
        <v>0.21387965832378653</v>
      </c>
    </row>
    <row r="109" spans="1:10" ht="11.25" customHeight="1" x14ac:dyDescent="0.2">
      <c r="A109" s="67">
        <v>44409</v>
      </c>
      <c r="B109" s="57">
        <v>0</v>
      </c>
      <c r="C109" s="57">
        <v>0</v>
      </c>
      <c r="D109" s="57">
        <v>576876.65436000004</v>
      </c>
      <c r="E109" s="57">
        <v>719409.93577116029</v>
      </c>
      <c r="F109" s="57">
        <v>141274.34322000001</v>
      </c>
      <c r="G109" s="57">
        <v>152338.95179613636</v>
      </c>
      <c r="H109" s="58">
        <v>0.24707756906767164</v>
      </c>
      <c r="I109" s="58">
        <v>7.8320014264061655E-2</v>
      </c>
      <c r="J109" s="58">
        <v>0.21387965832378608</v>
      </c>
    </row>
    <row r="110" spans="1:10" ht="11.25" customHeight="1" x14ac:dyDescent="0.2">
      <c r="A110" s="67">
        <v>44440</v>
      </c>
      <c r="B110" s="57">
        <v>0</v>
      </c>
      <c r="C110" s="57">
        <v>0</v>
      </c>
      <c r="D110" s="57">
        <v>589413.97716000001</v>
      </c>
      <c r="E110" s="57">
        <v>735044.94981120108</v>
      </c>
      <c r="F110" s="57">
        <v>144344.67382</v>
      </c>
      <c r="G110" s="57">
        <v>155649.75073252371</v>
      </c>
      <c r="H110" s="58">
        <v>0.24707756906767186</v>
      </c>
      <c r="I110" s="58">
        <v>7.8320014264061655E-2</v>
      </c>
      <c r="J110" s="58">
        <v>0.2138796583237863</v>
      </c>
    </row>
    <row r="111" spans="1:10" ht="11.25" customHeight="1" x14ac:dyDescent="0.2">
      <c r="A111" s="67">
        <v>44470</v>
      </c>
      <c r="B111" s="57">
        <v>0</v>
      </c>
      <c r="C111" s="57">
        <v>0</v>
      </c>
      <c r="D111" s="57">
        <v>587600.9254200001</v>
      </c>
      <c r="E111" s="57">
        <v>732783.93365468795</v>
      </c>
      <c r="F111" s="57">
        <v>143900.66608999998</v>
      </c>
      <c r="G111" s="57">
        <v>155170.96831077675</v>
      </c>
      <c r="H111" s="58">
        <v>0.24707756906767164</v>
      </c>
      <c r="I111" s="58">
        <v>7.8320014264061655E-2</v>
      </c>
      <c r="J111" s="58">
        <v>0.2138796583237863</v>
      </c>
    </row>
    <row r="112" spans="1:10" ht="11.25" customHeight="1" x14ac:dyDescent="0.2">
      <c r="A112" s="67">
        <v>44501</v>
      </c>
      <c r="B112" s="57">
        <v>0</v>
      </c>
      <c r="C112" s="57">
        <v>0</v>
      </c>
      <c r="D112" s="57">
        <v>584466.59472000005</v>
      </c>
      <c r="E112" s="57">
        <v>728875.18014467787</v>
      </c>
      <c r="F112" s="57">
        <v>143133.08343999999</v>
      </c>
      <c r="G112" s="57">
        <v>154343.26857667993</v>
      </c>
      <c r="H112" s="58">
        <v>0.24707756906767186</v>
      </c>
      <c r="I112" s="58">
        <v>7.8320014264061655E-2</v>
      </c>
      <c r="J112" s="58">
        <v>0.21387965832378653</v>
      </c>
    </row>
    <row r="113" spans="1:10" ht="11.25" customHeight="1" x14ac:dyDescent="0.2">
      <c r="A113" s="67">
        <v>44531</v>
      </c>
      <c r="B113" s="57">
        <v>0</v>
      </c>
      <c r="C113" s="57">
        <v>0</v>
      </c>
      <c r="D113" s="57">
        <v>597886.14306000003</v>
      </c>
      <c r="E113" s="57">
        <v>745610.39786651114</v>
      </c>
      <c r="F113" s="57">
        <v>146419.46686999997</v>
      </c>
      <c r="G113" s="57">
        <v>157887.04160379473</v>
      </c>
      <c r="H113" s="58">
        <v>0.24707756906767186</v>
      </c>
      <c r="I113" s="58">
        <v>7.8320014264062099E-2</v>
      </c>
      <c r="J113" s="58">
        <v>0.2138796583237863</v>
      </c>
    </row>
    <row r="114" spans="1:10" ht="11.25" customHeight="1" x14ac:dyDescent="0.2">
      <c r="A114" s="67">
        <v>44562</v>
      </c>
      <c r="B114" s="57">
        <v>0</v>
      </c>
      <c r="C114" s="57">
        <v>0</v>
      </c>
      <c r="D114" s="57">
        <v>657414.5379</v>
      </c>
      <c r="E114" s="57">
        <v>819846.92379407887</v>
      </c>
      <c r="F114" s="57">
        <v>160997.68705000001</v>
      </c>
      <c r="G114" s="57">
        <v>173607.02819623693</v>
      </c>
      <c r="H114" s="58">
        <v>0.24707756906767186</v>
      </c>
      <c r="I114" s="58">
        <v>7.8320014264061655E-2</v>
      </c>
      <c r="J114" s="58">
        <v>0.21387965832378653</v>
      </c>
    </row>
    <row r="115" spans="1:10" ht="11.25" customHeight="1" x14ac:dyDescent="0.2">
      <c r="A115" s="67">
        <v>44593</v>
      </c>
      <c r="B115" s="57">
        <v>0</v>
      </c>
      <c r="C115" s="57">
        <v>0</v>
      </c>
      <c r="D115" s="57">
        <v>637609.35707999999</v>
      </c>
      <c r="E115" s="57">
        <v>795148.32704212749</v>
      </c>
      <c r="F115" s="57">
        <v>156147.49265999999</v>
      </c>
      <c r="G115" s="57">
        <v>168376.96651242865</v>
      </c>
      <c r="H115" s="58">
        <v>0.24707756906767186</v>
      </c>
      <c r="I115" s="58">
        <v>7.8320014264061655E-2</v>
      </c>
      <c r="J115" s="58">
        <v>0.2138796583237863</v>
      </c>
    </row>
    <row r="116" spans="1:10" ht="11.25" customHeight="1" x14ac:dyDescent="0.2">
      <c r="A116" s="67">
        <v>44621</v>
      </c>
      <c r="B116" s="57">
        <v>0</v>
      </c>
      <c r="C116" s="57">
        <v>0</v>
      </c>
      <c r="D116" s="57">
        <v>637072.27859999996</v>
      </c>
      <c r="E116" s="57">
        <v>794478.54851689062</v>
      </c>
      <c r="F116" s="57">
        <v>156015.96470000001</v>
      </c>
      <c r="G116" s="57">
        <v>168235.13728072535</v>
      </c>
      <c r="H116" s="58">
        <v>0.24707756906767209</v>
      </c>
      <c r="I116" s="58">
        <v>7.8320014264061655E-2</v>
      </c>
      <c r="J116" s="58">
        <v>0.2138796583237863</v>
      </c>
    </row>
    <row r="117" spans="1:10" ht="11.25" customHeight="1" x14ac:dyDescent="0.2">
      <c r="A117" s="63" t="s">
        <v>29</v>
      </c>
      <c r="B117" s="57">
        <v>0</v>
      </c>
      <c r="C117" s="57">
        <v>0</v>
      </c>
      <c r="D117" s="57">
        <v>8518.9976999999999</v>
      </c>
      <c r="E117" s="57">
        <v>10781.536736816206</v>
      </c>
      <c r="F117" s="57">
        <v>2455.1097</v>
      </c>
      <c r="G117" s="57">
        <v>2647.2252073828045</v>
      </c>
      <c r="H117" s="58">
        <v>0.2655874689127109</v>
      </c>
      <c r="I117" s="58">
        <v>7.8251292552346863E-2</v>
      </c>
      <c r="J117" s="58">
        <v>0.22367692011097029</v>
      </c>
    </row>
    <row r="118" spans="1:10" ht="11.25" customHeight="1" x14ac:dyDescent="0.2">
      <c r="A118" s="64" t="s">
        <v>25</v>
      </c>
      <c r="B118" s="57">
        <v>0</v>
      </c>
      <c r="C118" s="57">
        <v>0</v>
      </c>
      <c r="D118" s="57">
        <v>8518.9976999999999</v>
      </c>
      <c r="E118" s="57">
        <v>10781.536736816206</v>
      </c>
      <c r="F118" s="57">
        <v>2455.1097</v>
      </c>
      <c r="G118" s="57">
        <v>2647.2252073828045</v>
      </c>
      <c r="H118" s="58">
        <v>0.2655874689127109</v>
      </c>
      <c r="I118" s="58">
        <v>7.8251292552346863E-2</v>
      </c>
      <c r="J118" s="58">
        <v>0.22367692011097029</v>
      </c>
    </row>
    <row r="119" spans="1:10" ht="11.25" customHeight="1" x14ac:dyDescent="0.2">
      <c r="A119" s="65" t="s">
        <v>25</v>
      </c>
      <c r="B119" s="57">
        <v>0</v>
      </c>
      <c r="C119" s="57">
        <v>0</v>
      </c>
      <c r="D119" s="57">
        <v>8518.9976999999999</v>
      </c>
      <c r="E119" s="57">
        <v>10781.536736816206</v>
      </c>
      <c r="F119" s="57">
        <v>2455.1097</v>
      </c>
      <c r="G119" s="57">
        <v>2647.2252073828045</v>
      </c>
      <c r="H119" s="58">
        <v>0.2655874689127109</v>
      </c>
      <c r="I119" s="58">
        <v>7.8251292552346863E-2</v>
      </c>
      <c r="J119" s="58">
        <v>0.22367692011097029</v>
      </c>
    </row>
    <row r="120" spans="1:10" ht="11.25" customHeight="1" x14ac:dyDescent="0.2">
      <c r="A120" s="66" t="s">
        <v>25</v>
      </c>
      <c r="B120" s="57">
        <v>0</v>
      </c>
      <c r="C120" s="57">
        <v>0</v>
      </c>
      <c r="D120" s="57">
        <v>8518.9976999999999</v>
      </c>
      <c r="E120" s="57">
        <v>10781.536736816206</v>
      </c>
      <c r="F120" s="57">
        <v>2455.1097</v>
      </c>
      <c r="G120" s="57">
        <v>2647.2252073828045</v>
      </c>
      <c r="H120" s="58">
        <v>0.2655874689127109</v>
      </c>
      <c r="I120" s="58">
        <v>7.8251292552346863E-2</v>
      </c>
      <c r="J120" s="58">
        <v>0.22367692011097029</v>
      </c>
    </row>
    <row r="121" spans="1:10" ht="11.25" customHeight="1" x14ac:dyDescent="0.2">
      <c r="A121" s="67">
        <v>44287</v>
      </c>
      <c r="B121" s="57">
        <v>0</v>
      </c>
      <c r="C121" s="57">
        <v>0</v>
      </c>
      <c r="D121" s="57">
        <v>463.06889999999999</v>
      </c>
      <c r="E121" s="57">
        <v>586.05419708319312</v>
      </c>
      <c r="F121" s="57">
        <v>133.4529</v>
      </c>
      <c r="G121" s="57">
        <v>143.89576191985904</v>
      </c>
      <c r="H121" s="58">
        <v>0.26558746891271068</v>
      </c>
      <c r="I121" s="58">
        <v>7.8251292552346419E-2</v>
      </c>
      <c r="J121" s="58">
        <v>0.22367692011097029</v>
      </c>
    </row>
    <row r="122" spans="1:10" ht="11.25" customHeight="1" x14ac:dyDescent="0.2">
      <c r="A122" s="67">
        <v>44317</v>
      </c>
      <c r="B122" s="57">
        <v>0</v>
      </c>
      <c r="C122" s="57">
        <v>0</v>
      </c>
      <c r="D122" s="57">
        <v>499.82040000000001</v>
      </c>
      <c r="E122" s="57">
        <v>632.56643494693867</v>
      </c>
      <c r="F122" s="57">
        <v>144.0444</v>
      </c>
      <c r="G122" s="57">
        <v>155.31606048492725</v>
      </c>
      <c r="H122" s="58">
        <v>0.26558746891271068</v>
      </c>
      <c r="I122" s="58">
        <v>7.8251292552346641E-2</v>
      </c>
      <c r="J122" s="58">
        <v>0.22367692011097029</v>
      </c>
    </row>
    <row r="123" spans="1:10" ht="11.25" customHeight="1" x14ac:dyDescent="0.2">
      <c r="A123" s="67">
        <v>44348</v>
      </c>
      <c r="B123" s="57">
        <v>0</v>
      </c>
      <c r="C123" s="57">
        <v>0</v>
      </c>
      <c r="D123" s="57">
        <v>529.22159999999997</v>
      </c>
      <c r="E123" s="57">
        <v>669.77622523793514</v>
      </c>
      <c r="F123" s="57">
        <v>152.51760000000002</v>
      </c>
      <c r="G123" s="57">
        <v>164.45229933698178</v>
      </c>
      <c r="H123" s="58">
        <v>0.2655874689127109</v>
      </c>
      <c r="I123" s="58">
        <v>7.8251292552346419E-2</v>
      </c>
      <c r="J123" s="58">
        <v>0.22367692011097051</v>
      </c>
    </row>
    <row r="124" spans="1:10" ht="11.25" customHeight="1" x14ac:dyDescent="0.2">
      <c r="A124" s="67">
        <v>44378</v>
      </c>
      <c r="B124" s="57">
        <v>0</v>
      </c>
      <c r="C124" s="57">
        <v>0</v>
      </c>
      <c r="D124" s="57">
        <v>543.92219999999998</v>
      </c>
      <c r="E124" s="57">
        <v>688.38112038343331</v>
      </c>
      <c r="F124" s="57">
        <v>156.75420000000003</v>
      </c>
      <c r="G124" s="57">
        <v>169.02041876300908</v>
      </c>
      <c r="H124" s="58">
        <v>0.2655874689127109</v>
      </c>
      <c r="I124" s="58">
        <v>7.8251292552346641E-2</v>
      </c>
      <c r="J124" s="58">
        <v>0.22367692011097029</v>
      </c>
    </row>
    <row r="125" spans="1:10" ht="11.25" customHeight="1" x14ac:dyDescent="0.2">
      <c r="A125" s="67">
        <v>44409</v>
      </c>
      <c r="B125" s="57">
        <v>0</v>
      </c>
      <c r="C125" s="57">
        <v>0</v>
      </c>
      <c r="D125" s="57">
        <v>551.27250000000004</v>
      </c>
      <c r="E125" s="57">
        <v>697.6835679561824</v>
      </c>
      <c r="F125" s="57">
        <v>158.8725</v>
      </c>
      <c r="G125" s="57">
        <v>171.30447847602269</v>
      </c>
      <c r="H125" s="58">
        <v>0.26558746891271068</v>
      </c>
      <c r="I125" s="58">
        <v>7.8251292552346641E-2</v>
      </c>
      <c r="J125" s="58">
        <v>0.22367692011097051</v>
      </c>
    </row>
    <row r="126" spans="1:10" ht="11.25" customHeight="1" x14ac:dyDescent="0.2">
      <c r="A126" s="67">
        <v>44440</v>
      </c>
      <c r="B126" s="57">
        <v>0</v>
      </c>
      <c r="C126" s="57">
        <v>0</v>
      </c>
      <c r="D126" s="57">
        <v>573.32339999999999</v>
      </c>
      <c r="E126" s="57">
        <v>725.59091067442967</v>
      </c>
      <c r="F126" s="57">
        <v>165.22739999999999</v>
      </c>
      <c r="G126" s="57">
        <v>178.15665761506358</v>
      </c>
      <c r="H126" s="58">
        <v>0.2655874689127109</v>
      </c>
      <c r="I126" s="58">
        <v>7.8251292552346641E-2</v>
      </c>
      <c r="J126" s="58">
        <v>0.22367692011097051</v>
      </c>
    </row>
    <row r="127" spans="1:10" ht="11.25" customHeight="1" x14ac:dyDescent="0.2">
      <c r="A127" s="67">
        <v>44470</v>
      </c>
      <c r="B127" s="57">
        <v>0</v>
      </c>
      <c r="C127" s="57">
        <v>0</v>
      </c>
      <c r="D127" s="57">
        <v>610.07490000000007</v>
      </c>
      <c r="E127" s="57">
        <v>772.10314853817522</v>
      </c>
      <c r="F127" s="57">
        <v>175.81890000000001</v>
      </c>
      <c r="G127" s="57">
        <v>189.57695618013179</v>
      </c>
      <c r="H127" s="58">
        <v>0.26558746891271068</v>
      </c>
      <c r="I127" s="58">
        <v>7.8251292552346641E-2</v>
      </c>
      <c r="J127" s="58">
        <v>0.22367692011097029</v>
      </c>
    </row>
    <row r="128" spans="1:10" ht="11.25" customHeight="1" x14ac:dyDescent="0.2">
      <c r="A128" s="67">
        <v>44501</v>
      </c>
      <c r="B128" s="57">
        <v>0</v>
      </c>
      <c r="C128" s="57">
        <v>0</v>
      </c>
      <c r="D128" s="57">
        <v>661.52700000000004</v>
      </c>
      <c r="E128" s="57">
        <v>837.22028154741895</v>
      </c>
      <c r="F128" s="57">
        <v>190.64700000000002</v>
      </c>
      <c r="G128" s="57">
        <v>205.56537417122723</v>
      </c>
      <c r="H128" s="58">
        <v>0.2655874689127109</v>
      </c>
      <c r="I128" s="58">
        <v>7.8251292552346641E-2</v>
      </c>
      <c r="J128" s="58">
        <v>0.22367692011097051</v>
      </c>
    </row>
    <row r="129" spans="1:10" ht="11.25" customHeight="1" x14ac:dyDescent="0.2">
      <c r="A129" s="67">
        <v>44531</v>
      </c>
      <c r="B129" s="57">
        <v>0</v>
      </c>
      <c r="C129" s="57">
        <v>0</v>
      </c>
      <c r="D129" s="57">
        <v>668.87729999999999</v>
      </c>
      <c r="E129" s="57">
        <v>846.52272912016792</v>
      </c>
      <c r="F129" s="57">
        <v>192.7653</v>
      </c>
      <c r="G129" s="57">
        <v>207.84943388424085</v>
      </c>
      <c r="H129" s="58">
        <v>0.2655874689127109</v>
      </c>
      <c r="I129" s="58">
        <v>7.8251292552346641E-2</v>
      </c>
      <c r="J129" s="58">
        <v>0.22367692011097029</v>
      </c>
    </row>
    <row r="130" spans="1:10" ht="11.25" customHeight="1" x14ac:dyDescent="0.2">
      <c r="A130" s="67">
        <v>44562</v>
      </c>
      <c r="B130" s="57">
        <v>0</v>
      </c>
      <c r="C130" s="57">
        <v>0</v>
      </c>
      <c r="D130" s="57">
        <v>727.67970000000003</v>
      </c>
      <c r="E130" s="57">
        <v>920.94230970216074</v>
      </c>
      <c r="F130" s="57">
        <v>209.71170000000001</v>
      </c>
      <c r="G130" s="57">
        <v>226.12191158834995</v>
      </c>
      <c r="H130" s="58">
        <v>0.26558746891271068</v>
      </c>
      <c r="I130" s="58">
        <v>7.8251292552346641E-2</v>
      </c>
      <c r="J130" s="58">
        <v>0.22367692011097029</v>
      </c>
    </row>
    <row r="131" spans="1:10" ht="11.25" customHeight="1" x14ac:dyDescent="0.2">
      <c r="A131" s="67">
        <v>44593</v>
      </c>
      <c r="B131" s="57">
        <v>0</v>
      </c>
      <c r="C131" s="57">
        <v>0</v>
      </c>
      <c r="D131" s="57">
        <v>823.23359999999991</v>
      </c>
      <c r="E131" s="57">
        <v>1041.874128147899</v>
      </c>
      <c r="F131" s="57">
        <v>237.24959999999999</v>
      </c>
      <c r="G131" s="57">
        <v>255.81468785752719</v>
      </c>
      <c r="H131" s="58">
        <v>0.2655874689127109</v>
      </c>
      <c r="I131" s="58">
        <v>7.8251292552346641E-2</v>
      </c>
      <c r="J131" s="58">
        <v>0.22367692011097051</v>
      </c>
    </row>
    <row r="132" spans="1:10" ht="11.25" customHeight="1" x14ac:dyDescent="0.2">
      <c r="A132" s="67">
        <v>44621</v>
      </c>
      <c r="B132" s="57">
        <v>0</v>
      </c>
      <c r="C132" s="57">
        <v>0</v>
      </c>
      <c r="D132" s="57">
        <v>1866.9762000000001</v>
      </c>
      <c r="E132" s="57">
        <v>2362.8216834782711</v>
      </c>
      <c r="F132" s="57">
        <v>538.04819999999995</v>
      </c>
      <c r="G132" s="57">
        <v>580.15116710546351</v>
      </c>
      <c r="H132" s="58">
        <v>0.2655874689127109</v>
      </c>
      <c r="I132" s="58">
        <v>7.8251292552346641E-2</v>
      </c>
      <c r="J132" s="58">
        <v>0.22367692011097029</v>
      </c>
    </row>
    <row r="133" spans="1:10" ht="11.25" customHeight="1" x14ac:dyDescent="0.2">
      <c r="A133" s="63" t="s">
        <v>30</v>
      </c>
      <c r="B133" s="57">
        <v>0</v>
      </c>
      <c r="C133" s="57">
        <v>0</v>
      </c>
      <c r="D133" s="57">
        <v>31533.001500000002</v>
      </c>
      <c r="E133" s="57">
        <v>39907.500087093635</v>
      </c>
      <c r="F133" s="57">
        <v>9087.0780000000013</v>
      </c>
      <c r="G133" s="57">
        <v>9798.6161688284992</v>
      </c>
      <c r="H133" s="58">
        <v>0.26557885988410046</v>
      </c>
      <c r="I133" s="58">
        <v>7.8302196682860536E-2</v>
      </c>
      <c r="J133" s="58">
        <v>0.22368338190776127</v>
      </c>
    </row>
    <row r="134" spans="1:10" ht="11.25" customHeight="1" x14ac:dyDescent="0.2">
      <c r="A134" s="64" t="s">
        <v>25</v>
      </c>
      <c r="B134" s="57">
        <v>0</v>
      </c>
      <c r="C134" s="57">
        <v>0</v>
      </c>
      <c r="D134" s="57">
        <v>31533.001500000002</v>
      </c>
      <c r="E134" s="57">
        <v>39907.500087093635</v>
      </c>
      <c r="F134" s="57">
        <v>9087.0780000000013</v>
      </c>
      <c r="G134" s="57">
        <v>9798.6161688284992</v>
      </c>
      <c r="H134" s="58">
        <v>0.26557885988410046</v>
      </c>
      <c r="I134" s="58">
        <v>7.8302196682860536E-2</v>
      </c>
      <c r="J134" s="58">
        <v>0.22368338190776127</v>
      </c>
    </row>
    <row r="135" spans="1:10" ht="11.25" customHeight="1" x14ac:dyDescent="0.2">
      <c r="A135" s="65" t="s">
        <v>25</v>
      </c>
      <c r="B135" s="57">
        <v>0</v>
      </c>
      <c r="C135" s="57">
        <v>0</v>
      </c>
      <c r="D135" s="57">
        <v>31533.001500000002</v>
      </c>
      <c r="E135" s="57">
        <v>39907.500087093635</v>
      </c>
      <c r="F135" s="57">
        <v>9087.0780000000013</v>
      </c>
      <c r="G135" s="57">
        <v>9798.6161688284992</v>
      </c>
      <c r="H135" s="58">
        <v>0.26557885988410046</v>
      </c>
      <c r="I135" s="58">
        <v>7.8302196682860536E-2</v>
      </c>
      <c r="J135" s="58">
        <v>0.22368338190776127</v>
      </c>
    </row>
    <row r="136" spans="1:10" ht="11.25" customHeight="1" x14ac:dyDescent="0.2">
      <c r="A136" s="66" t="s">
        <v>25</v>
      </c>
      <c r="B136" s="57">
        <v>0</v>
      </c>
      <c r="C136" s="57">
        <v>0</v>
      </c>
      <c r="D136" s="57">
        <v>31533.001500000002</v>
      </c>
      <c r="E136" s="57">
        <v>39907.500087093635</v>
      </c>
      <c r="F136" s="57">
        <v>9087.0780000000013</v>
      </c>
      <c r="G136" s="57">
        <v>9798.6161688284992</v>
      </c>
      <c r="H136" s="58">
        <v>0.26557885988410046</v>
      </c>
      <c r="I136" s="58">
        <v>7.8302196682860536E-2</v>
      </c>
      <c r="J136" s="58">
        <v>0.22368338190776127</v>
      </c>
    </row>
    <row r="137" spans="1:10" ht="11.25" customHeight="1" x14ac:dyDescent="0.2">
      <c r="A137" s="67">
        <v>44287</v>
      </c>
      <c r="B137" s="57">
        <v>0</v>
      </c>
      <c r="C137" s="57">
        <v>0</v>
      </c>
      <c r="D137" s="57">
        <v>1734.6825999999999</v>
      </c>
      <c r="E137" s="57">
        <v>2195.3776271687875</v>
      </c>
      <c r="F137" s="57">
        <v>499.89519999999999</v>
      </c>
      <c r="G137" s="57">
        <v>539.03809227121815</v>
      </c>
      <c r="H137" s="58">
        <v>0.2655788598841009</v>
      </c>
      <c r="I137" s="58">
        <v>7.8302196682860981E-2</v>
      </c>
      <c r="J137" s="58">
        <v>0.22368338190776171</v>
      </c>
    </row>
    <row r="138" spans="1:10" ht="11.25" customHeight="1" x14ac:dyDescent="0.2">
      <c r="A138" s="67">
        <v>44317</v>
      </c>
      <c r="B138" s="57">
        <v>0</v>
      </c>
      <c r="C138" s="57">
        <v>0</v>
      </c>
      <c r="D138" s="57">
        <v>1852.2882</v>
      </c>
      <c r="E138" s="57">
        <v>2344.2167883327729</v>
      </c>
      <c r="F138" s="57">
        <v>533.78640000000007</v>
      </c>
      <c r="G138" s="57">
        <v>575.58304767943628</v>
      </c>
      <c r="H138" s="58">
        <v>0.26557885988410068</v>
      </c>
      <c r="I138" s="58">
        <v>7.8302196682860759E-2</v>
      </c>
      <c r="J138" s="58">
        <v>0.22368338190776149</v>
      </c>
    </row>
    <row r="139" spans="1:10" ht="11.25" customHeight="1" x14ac:dyDescent="0.2">
      <c r="A139" s="67">
        <v>44348</v>
      </c>
      <c r="B139" s="57">
        <v>0</v>
      </c>
      <c r="C139" s="57">
        <v>0</v>
      </c>
      <c r="D139" s="57">
        <v>1963.1734800000002</v>
      </c>
      <c r="E139" s="57">
        <v>2484.5508545731022</v>
      </c>
      <c r="F139" s="57">
        <v>565.74096000000009</v>
      </c>
      <c r="G139" s="57">
        <v>610.03971992147069</v>
      </c>
      <c r="H139" s="58">
        <v>0.26557885988410046</v>
      </c>
      <c r="I139" s="58">
        <v>7.8302196682860981E-2</v>
      </c>
      <c r="J139" s="58">
        <v>0.22368338190776127</v>
      </c>
    </row>
    <row r="140" spans="1:10" ht="11.25" customHeight="1" x14ac:dyDescent="0.2">
      <c r="A140" s="67">
        <v>44378</v>
      </c>
      <c r="B140" s="57">
        <v>0</v>
      </c>
      <c r="C140" s="57">
        <v>0</v>
      </c>
      <c r="D140" s="57">
        <v>1950.9928999999997</v>
      </c>
      <c r="E140" s="57">
        <v>2469.1353700239752</v>
      </c>
      <c r="F140" s="57">
        <v>562.23079999999993</v>
      </c>
      <c r="G140" s="57">
        <v>606.25470668276228</v>
      </c>
      <c r="H140" s="58">
        <v>0.2655788598841009</v>
      </c>
      <c r="I140" s="58">
        <v>7.8302196682861203E-2</v>
      </c>
      <c r="J140" s="58">
        <v>0.22368338190776171</v>
      </c>
    </row>
    <row r="141" spans="1:10" ht="11.25" customHeight="1" x14ac:dyDescent="0.2">
      <c r="A141" s="67">
        <v>44409</v>
      </c>
      <c r="B141" s="57">
        <v>0</v>
      </c>
      <c r="C141" s="57">
        <v>0</v>
      </c>
      <c r="D141" s="57">
        <v>2016.096</v>
      </c>
      <c r="E141" s="57">
        <v>2551.528477096896</v>
      </c>
      <c r="F141" s="57">
        <v>580.99199999999996</v>
      </c>
      <c r="G141" s="57">
        <v>626.48494985516879</v>
      </c>
      <c r="H141" s="58">
        <v>0.26557885988410068</v>
      </c>
      <c r="I141" s="58">
        <v>7.8302196682861203E-2</v>
      </c>
      <c r="J141" s="58">
        <v>0.22368338190776171</v>
      </c>
    </row>
    <row r="142" spans="1:10" ht="11.25" customHeight="1" x14ac:dyDescent="0.2">
      <c r="A142" s="67">
        <v>44440</v>
      </c>
      <c r="B142" s="57">
        <v>0</v>
      </c>
      <c r="C142" s="57">
        <v>0</v>
      </c>
      <c r="D142" s="57">
        <v>2179.48378</v>
      </c>
      <c r="E142" s="57">
        <v>2758.3085974282899</v>
      </c>
      <c r="F142" s="57">
        <v>628.07656000000009</v>
      </c>
      <c r="G142" s="57">
        <v>677.25633433301471</v>
      </c>
      <c r="H142" s="58">
        <v>0.26557885988410046</v>
      </c>
      <c r="I142" s="58">
        <v>7.8302196682860759E-2</v>
      </c>
      <c r="J142" s="58">
        <v>0.22368338190776149</v>
      </c>
    </row>
    <row r="143" spans="1:10" ht="11.25" customHeight="1" x14ac:dyDescent="0.2">
      <c r="A143" s="67">
        <v>44470</v>
      </c>
      <c r="B143" s="57">
        <v>0</v>
      </c>
      <c r="C143" s="57">
        <v>0</v>
      </c>
      <c r="D143" s="57">
        <v>2341.6115</v>
      </c>
      <c r="E143" s="57">
        <v>2963.4940124614986</v>
      </c>
      <c r="F143" s="57">
        <v>674.798</v>
      </c>
      <c r="G143" s="57">
        <v>727.63616571720127</v>
      </c>
      <c r="H143" s="58">
        <v>0.26557885988410068</v>
      </c>
      <c r="I143" s="58">
        <v>7.8302196682860981E-2</v>
      </c>
      <c r="J143" s="58">
        <v>0.22368338190776149</v>
      </c>
    </row>
    <row r="144" spans="1:10" ht="11.25" customHeight="1" x14ac:dyDescent="0.2">
      <c r="A144" s="67">
        <v>44501</v>
      </c>
      <c r="B144" s="57">
        <v>0</v>
      </c>
      <c r="C144" s="57">
        <v>0</v>
      </c>
      <c r="D144" s="57">
        <v>2483.5782599999998</v>
      </c>
      <c r="E144" s="57">
        <v>3143.1641427237387</v>
      </c>
      <c r="F144" s="57">
        <v>715.70952000000011</v>
      </c>
      <c r="G144" s="57">
        <v>771.75114760283611</v>
      </c>
      <c r="H144" s="58">
        <v>0.2655788598841009</v>
      </c>
      <c r="I144" s="58">
        <v>7.8302196682860981E-2</v>
      </c>
      <c r="J144" s="58">
        <v>0.22368338190776171</v>
      </c>
    </row>
    <row r="145" spans="1:10" ht="11.25" customHeight="1" x14ac:dyDescent="0.2">
      <c r="A145" s="67">
        <v>44531</v>
      </c>
      <c r="B145" s="57">
        <v>0</v>
      </c>
      <c r="C145" s="57">
        <v>0</v>
      </c>
      <c r="D145" s="57">
        <v>2573.4625399999995</v>
      </c>
      <c r="E145" s="57">
        <v>3256.9197873276416</v>
      </c>
      <c r="F145" s="57">
        <v>741.61207999999999</v>
      </c>
      <c r="G145" s="57">
        <v>799.68193495054561</v>
      </c>
      <c r="H145" s="58">
        <v>0.2655788598841009</v>
      </c>
      <c r="I145" s="58">
        <v>7.8302196682860981E-2</v>
      </c>
      <c r="J145" s="58">
        <v>0.22368338190776171</v>
      </c>
    </row>
    <row r="146" spans="1:10" ht="11.25" customHeight="1" x14ac:dyDescent="0.2">
      <c r="A146" s="67">
        <v>44562</v>
      </c>
      <c r="B146" s="57">
        <v>0</v>
      </c>
      <c r="C146" s="57">
        <v>0</v>
      </c>
      <c r="D146" s="57">
        <v>2804.0535199999999</v>
      </c>
      <c r="E146" s="57">
        <v>3548.7508568955991</v>
      </c>
      <c r="F146" s="57">
        <v>808.06304000000011</v>
      </c>
      <c r="G146" s="57">
        <v>871.3361510902306</v>
      </c>
      <c r="H146" s="58">
        <v>0.26557885988410068</v>
      </c>
      <c r="I146" s="58">
        <v>7.8302196682860981E-2</v>
      </c>
      <c r="J146" s="58">
        <v>0.22368338190776149</v>
      </c>
    </row>
    <row r="147" spans="1:10" ht="11.25" customHeight="1" x14ac:dyDescent="0.2">
      <c r="A147" s="67">
        <v>44593</v>
      </c>
      <c r="B147" s="57">
        <v>0</v>
      </c>
      <c r="C147" s="57">
        <v>0</v>
      </c>
      <c r="D147" s="57">
        <v>3137.9694199999999</v>
      </c>
      <c r="E147" s="57">
        <v>3971.3477609147726</v>
      </c>
      <c r="F147" s="57">
        <v>904.28984000000003</v>
      </c>
      <c r="G147" s="57">
        <v>975.09772090999286</v>
      </c>
      <c r="H147" s="58">
        <v>0.26557885988410068</v>
      </c>
      <c r="I147" s="58">
        <v>7.8302196682860981E-2</v>
      </c>
      <c r="J147" s="58">
        <v>0.22368338190776149</v>
      </c>
    </row>
    <row r="148" spans="1:10" ht="11.25" customHeight="1" x14ac:dyDescent="0.2">
      <c r="A148" s="67">
        <v>44621</v>
      </c>
      <c r="B148" s="57">
        <v>0</v>
      </c>
      <c r="C148" s="57">
        <v>0</v>
      </c>
      <c r="D148" s="57">
        <v>6495.6093000000001</v>
      </c>
      <c r="E148" s="57">
        <v>8220.7058121465616</v>
      </c>
      <c r="F148" s="57">
        <v>1871.8836000000001</v>
      </c>
      <c r="G148" s="57">
        <v>2018.4561978146219</v>
      </c>
      <c r="H148" s="58">
        <v>0.26557885988410068</v>
      </c>
      <c r="I148" s="58">
        <v>7.8302196682860981E-2</v>
      </c>
      <c r="J148" s="58">
        <v>0.22368338190776127</v>
      </c>
    </row>
    <row r="149" spans="1:10" ht="11.25" customHeight="1" x14ac:dyDescent="0.2">
      <c r="A149" s="63" t="s">
        <v>31</v>
      </c>
      <c r="B149" s="57">
        <v>0</v>
      </c>
      <c r="C149" s="57">
        <v>0</v>
      </c>
      <c r="D149" s="57">
        <v>40801.355239999997</v>
      </c>
      <c r="E149" s="57">
        <v>51638.152260546623</v>
      </c>
      <c r="F149" s="57">
        <v>11758.188719999998</v>
      </c>
      <c r="G149" s="57">
        <v>12678.880725787636</v>
      </c>
      <c r="H149" s="58">
        <v>0.26559894779972093</v>
      </c>
      <c r="I149" s="58">
        <v>7.8302196682860981E-2</v>
      </c>
      <c r="J149" s="58">
        <v>0.22369845969900748</v>
      </c>
    </row>
    <row r="150" spans="1:10" ht="11.25" customHeight="1" x14ac:dyDescent="0.2">
      <c r="A150" s="64" t="s">
        <v>25</v>
      </c>
      <c r="B150" s="57">
        <v>0</v>
      </c>
      <c r="C150" s="57">
        <v>0</v>
      </c>
      <c r="D150" s="57">
        <v>40801.355239999997</v>
      </c>
      <c r="E150" s="57">
        <v>51638.152260546623</v>
      </c>
      <c r="F150" s="57">
        <v>11758.188719999998</v>
      </c>
      <c r="G150" s="57">
        <v>12678.880725787636</v>
      </c>
      <c r="H150" s="58">
        <v>0.26559894779972093</v>
      </c>
      <c r="I150" s="58">
        <v>7.8302196682860981E-2</v>
      </c>
      <c r="J150" s="58">
        <v>0.22369845969900748</v>
      </c>
    </row>
    <row r="151" spans="1:10" ht="11.25" customHeight="1" x14ac:dyDescent="0.2">
      <c r="A151" s="65" t="s">
        <v>25</v>
      </c>
      <c r="B151" s="57">
        <v>0</v>
      </c>
      <c r="C151" s="57">
        <v>0</v>
      </c>
      <c r="D151" s="57">
        <v>40801.355239999997</v>
      </c>
      <c r="E151" s="57">
        <v>51638.152260546623</v>
      </c>
      <c r="F151" s="57">
        <v>11758.188719999998</v>
      </c>
      <c r="G151" s="57">
        <v>12678.880725787636</v>
      </c>
      <c r="H151" s="58">
        <v>0.26559894779972093</v>
      </c>
      <c r="I151" s="58">
        <v>7.8302196682860981E-2</v>
      </c>
      <c r="J151" s="58">
        <v>0.22369845969900748</v>
      </c>
    </row>
    <row r="152" spans="1:10" ht="11.25" customHeight="1" x14ac:dyDescent="0.2">
      <c r="A152" s="66" t="s">
        <v>25</v>
      </c>
      <c r="B152" s="57">
        <v>0</v>
      </c>
      <c r="C152" s="57">
        <v>0</v>
      </c>
      <c r="D152" s="57">
        <v>40801.355239999997</v>
      </c>
      <c r="E152" s="57">
        <v>51638.152260546623</v>
      </c>
      <c r="F152" s="57">
        <v>11758.188719999998</v>
      </c>
      <c r="G152" s="57">
        <v>12678.880725787636</v>
      </c>
      <c r="H152" s="58">
        <v>0.26559894779972093</v>
      </c>
      <c r="I152" s="58">
        <v>7.8302196682860981E-2</v>
      </c>
      <c r="J152" s="58">
        <v>0.22369845969900748</v>
      </c>
    </row>
    <row r="153" spans="1:10" ht="11.25" customHeight="1" x14ac:dyDescent="0.2">
      <c r="A153" s="67">
        <v>44287</v>
      </c>
      <c r="B153" s="57">
        <v>0</v>
      </c>
      <c r="C153" s="57">
        <v>0</v>
      </c>
      <c r="D153" s="57">
        <v>2470.9384399999999</v>
      </c>
      <c r="E153" s="57">
        <v>3127.2170897418832</v>
      </c>
      <c r="F153" s="57">
        <v>712.07832000000008</v>
      </c>
      <c r="G153" s="57">
        <v>767.83561666624121</v>
      </c>
      <c r="H153" s="58">
        <v>0.26559894779972071</v>
      </c>
      <c r="I153" s="58">
        <v>7.8302196682860759E-2</v>
      </c>
      <c r="J153" s="58">
        <v>0.22369845969900726</v>
      </c>
    </row>
    <row r="154" spans="1:10" ht="11.25" customHeight="1" x14ac:dyDescent="0.2">
      <c r="A154" s="67">
        <v>44317</v>
      </c>
      <c r="B154" s="57">
        <v>0</v>
      </c>
      <c r="C154" s="57">
        <v>0</v>
      </c>
      <c r="D154" s="57">
        <v>2474.7185599999998</v>
      </c>
      <c r="E154" s="57">
        <v>3132.0012056364399</v>
      </c>
      <c r="F154" s="57">
        <v>713.16768000000002</v>
      </c>
      <c r="G154" s="57">
        <v>769.01027594721961</v>
      </c>
      <c r="H154" s="58">
        <v>0.26559894779972071</v>
      </c>
      <c r="I154" s="58">
        <v>7.8302196682860981E-2</v>
      </c>
      <c r="J154" s="58">
        <v>0.22369845969900726</v>
      </c>
    </row>
    <row r="155" spans="1:10" ht="11.25" customHeight="1" x14ac:dyDescent="0.2">
      <c r="A155" s="67">
        <v>44348</v>
      </c>
      <c r="B155" s="57">
        <v>0</v>
      </c>
      <c r="C155" s="57">
        <v>0</v>
      </c>
      <c r="D155" s="57">
        <v>2479.7587199999998</v>
      </c>
      <c r="E155" s="57">
        <v>3138.380026829182</v>
      </c>
      <c r="F155" s="57">
        <v>714.62016000000006</v>
      </c>
      <c r="G155" s="57">
        <v>770.57648832185748</v>
      </c>
      <c r="H155" s="58">
        <v>0.26559894779972071</v>
      </c>
      <c r="I155" s="58">
        <v>7.8302196682860759E-2</v>
      </c>
      <c r="J155" s="58">
        <v>0.22369845969900726</v>
      </c>
    </row>
    <row r="156" spans="1:10" ht="11.25" customHeight="1" x14ac:dyDescent="0.2">
      <c r="A156" s="67">
        <v>44378</v>
      </c>
      <c r="B156" s="57">
        <v>0</v>
      </c>
      <c r="C156" s="57">
        <v>0</v>
      </c>
      <c r="D156" s="57">
        <v>2207.5900799999999</v>
      </c>
      <c r="E156" s="57">
        <v>2793.9236824211011</v>
      </c>
      <c r="F156" s="57">
        <v>636.18624</v>
      </c>
      <c r="G156" s="57">
        <v>686.00102009140971</v>
      </c>
      <c r="H156" s="58">
        <v>0.26559894779972071</v>
      </c>
      <c r="I156" s="58">
        <v>7.8302196682860759E-2</v>
      </c>
      <c r="J156" s="58">
        <v>0.22369845969900726</v>
      </c>
    </row>
    <row r="157" spans="1:10" ht="11.25" customHeight="1" x14ac:dyDescent="0.2">
      <c r="A157" s="67">
        <v>44409</v>
      </c>
      <c r="B157" s="57">
        <v>0</v>
      </c>
      <c r="C157" s="57">
        <v>0</v>
      </c>
      <c r="D157" s="57">
        <v>2458.9680599999997</v>
      </c>
      <c r="E157" s="57">
        <v>3112.0673894091201</v>
      </c>
      <c r="F157" s="57">
        <v>708.62868000000003</v>
      </c>
      <c r="G157" s="57">
        <v>764.11586227647615</v>
      </c>
      <c r="H157" s="58">
        <v>0.26559894779972071</v>
      </c>
      <c r="I157" s="58">
        <v>7.8302196682860981E-2</v>
      </c>
      <c r="J157" s="58">
        <v>0.22369845969900704</v>
      </c>
    </row>
    <row r="158" spans="1:10" ht="11.25" customHeight="1" x14ac:dyDescent="0.2">
      <c r="A158" s="67">
        <v>44440</v>
      </c>
      <c r="B158" s="57">
        <v>0</v>
      </c>
      <c r="C158" s="57">
        <v>0</v>
      </c>
      <c r="D158" s="57">
        <v>3044.8866600000001</v>
      </c>
      <c r="E158" s="57">
        <v>3853.6053530654058</v>
      </c>
      <c r="F158" s="57">
        <v>877.47948000000008</v>
      </c>
      <c r="G158" s="57">
        <v>946.18805082813458</v>
      </c>
      <c r="H158" s="58">
        <v>0.26559894779972071</v>
      </c>
      <c r="I158" s="58">
        <v>7.8302196682860981E-2</v>
      </c>
      <c r="J158" s="58">
        <v>0.22369845969900704</v>
      </c>
    </row>
    <row r="159" spans="1:10" ht="11.25" customHeight="1" x14ac:dyDescent="0.2">
      <c r="A159" s="67">
        <v>44470</v>
      </c>
      <c r="B159" s="57">
        <v>0</v>
      </c>
      <c r="C159" s="57">
        <v>0</v>
      </c>
      <c r="D159" s="57">
        <v>3039.2164799999996</v>
      </c>
      <c r="E159" s="57">
        <v>3846.4291792235704</v>
      </c>
      <c r="F159" s="57">
        <v>875.84543999999994</v>
      </c>
      <c r="G159" s="57">
        <v>944.42606190666686</v>
      </c>
      <c r="H159" s="58">
        <v>0.26559894779972071</v>
      </c>
      <c r="I159" s="58">
        <v>7.8302196682860981E-2</v>
      </c>
      <c r="J159" s="58">
        <v>0.22369845969900726</v>
      </c>
    </row>
    <row r="160" spans="1:10" ht="11.25" customHeight="1" x14ac:dyDescent="0.2">
      <c r="A160" s="67">
        <v>44501</v>
      </c>
      <c r="B160" s="57">
        <v>0</v>
      </c>
      <c r="C160" s="57">
        <v>0</v>
      </c>
      <c r="D160" s="57">
        <v>2951.01368</v>
      </c>
      <c r="E160" s="57">
        <v>3734.7998083505818</v>
      </c>
      <c r="F160" s="57">
        <v>850.42704000000003</v>
      </c>
      <c r="G160" s="57">
        <v>917.01734535050321</v>
      </c>
      <c r="H160" s="58">
        <v>0.26559894779972071</v>
      </c>
      <c r="I160" s="58">
        <v>7.8302196682860759E-2</v>
      </c>
      <c r="J160" s="58">
        <v>0.22369845969900726</v>
      </c>
    </row>
    <row r="161" spans="1:10" ht="11.25" customHeight="1" x14ac:dyDescent="0.2">
      <c r="A161" s="67">
        <v>44531</v>
      </c>
      <c r="B161" s="57">
        <v>0</v>
      </c>
      <c r="C161" s="57">
        <v>0</v>
      </c>
      <c r="D161" s="57">
        <v>3422.8986600000003</v>
      </c>
      <c r="E161" s="57">
        <v>4332.0169425210743</v>
      </c>
      <c r="F161" s="57">
        <v>986.41548000000012</v>
      </c>
      <c r="G161" s="57">
        <v>1063.6539789259789</v>
      </c>
      <c r="H161" s="58">
        <v>0.26559894779972071</v>
      </c>
      <c r="I161" s="58">
        <v>7.8302196682860981E-2</v>
      </c>
      <c r="J161" s="58">
        <v>0.22369845969900726</v>
      </c>
    </row>
    <row r="162" spans="1:10" ht="11.25" customHeight="1" x14ac:dyDescent="0.2">
      <c r="A162" s="67">
        <v>44562</v>
      </c>
      <c r="B162" s="57">
        <v>0</v>
      </c>
      <c r="C162" s="57">
        <v>0</v>
      </c>
      <c r="D162" s="57">
        <v>3878.4031199999995</v>
      </c>
      <c r="E162" s="57">
        <v>4908.5029078151538</v>
      </c>
      <c r="F162" s="57">
        <v>1117.68336</v>
      </c>
      <c r="G162" s="57">
        <v>1205.2004222838807</v>
      </c>
      <c r="H162" s="58">
        <v>0.26559894779972093</v>
      </c>
      <c r="I162" s="58">
        <v>7.8302196682860759E-2</v>
      </c>
      <c r="J162" s="58">
        <v>0.22369845969900704</v>
      </c>
    </row>
    <row r="163" spans="1:10" ht="11.25" customHeight="1" x14ac:dyDescent="0.2">
      <c r="A163" s="67">
        <v>44593</v>
      </c>
      <c r="B163" s="57">
        <v>0</v>
      </c>
      <c r="C163" s="57">
        <v>0</v>
      </c>
      <c r="D163" s="57">
        <v>4297.9964399999999</v>
      </c>
      <c r="E163" s="57">
        <v>5439.5397721109448</v>
      </c>
      <c r="F163" s="57">
        <v>1238.60232</v>
      </c>
      <c r="G163" s="57">
        <v>1335.5876024724878</v>
      </c>
      <c r="H163" s="58">
        <v>0.26559894779972049</v>
      </c>
      <c r="I163" s="58">
        <v>7.8302196682860981E-2</v>
      </c>
      <c r="J163" s="58">
        <v>0.22369845969900704</v>
      </c>
    </row>
    <row r="164" spans="1:10" ht="11.25" customHeight="1" x14ac:dyDescent="0.2">
      <c r="A164" s="67">
        <v>44621</v>
      </c>
      <c r="B164" s="57">
        <v>0</v>
      </c>
      <c r="C164" s="57">
        <v>0</v>
      </c>
      <c r="D164" s="57">
        <v>8074.9663399999999</v>
      </c>
      <c r="E164" s="57">
        <v>10219.668903422162</v>
      </c>
      <c r="F164" s="57">
        <v>2327.0545200000001</v>
      </c>
      <c r="G164" s="57">
        <v>2509.2680007167805</v>
      </c>
      <c r="H164" s="58">
        <v>0.26559894779972071</v>
      </c>
      <c r="I164" s="58">
        <v>7.8302196682860759E-2</v>
      </c>
      <c r="J164" s="58">
        <v>0.22369845969900704</v>
      </c>
    </row>
    <row r="165" spans="1:10" ht="11.25" customHeight="1" x14ac:dyDescent="0.2">
      <c r="A165" s="63" t="s">
        <v>32</v>
      </c>
      <c r="B165" s="57">
        <v>0</v>
      </c>
      <c r="C165" s="57">
        <v>0</v>
      </c>
      <c r="D165" s="57">
        <v>16040.487419999999</v>
      </c>
      <c r="E165" s="57">
        <v>20300.598445902178</v>
      </c>
      <c r="F165" s="57">
        <v>4622.4412199999997</v>
      </c>
      <c r="G165" s="57">
        <v>4984.4708822851862</v>
      </c>
      <c r="H165" s="58">
        <v>0.26558488619182996</v>
      </c>
      <c r="I165" s="58">
        <v>7.8320014264061655E-2</v>
      </c>
      <c r="J165" s="58">
        <v>0.22369242853792137</v>
      </c>
    </row>
    <row r="166" spans="1:10" ht="11.25" customHeight="1" x14ac:dyDescent="0.2">
      <c r="A166" s="64" t="s">
        <v>25</v>
      </c>
      <c r="B166" s="57">
        <v>0</v>
      </c>
      <c r="C166" s="57">
        <v>0</v>
      </c>
      <c r="D166" s="57">
        <v>16040.487419999999</v>
      </c>
      <c r="E166" s="57">
        <v>20300.598445902178</v>
      </c>
      <c r="F166" s="57">
        <v>4622.4412199999997</v>
      </c>
      <c r="G166" s="57">
        <v>4984.4708822851862</v>
      </c>
      <c r="H166" s="58">
        <v>0.26558488619182996</v>
      </c>
      <c r="I166" s="58">
        <v>7.8320014264061655E-2</v>
      </c>
      <c r="J166" s="58">
        <v>0.22369242853792137</v>
      </c>
    </row>
    <row r="167" spans="1:10" ht="11.25" customHeight="1" x14ac:dyDescent="0.2">
      <c r="A167" s="65" t="s">
        <v>25</v>
      </c>
      <c r="B167" s="57">
        <v>0</v>
      </c>
      <c r="C167" s="57">
        <v>0</v>
      </c>
      <c r="D167" s="57">
        <v>16040.487419999999</v>
      </c>
      <c r="E167" s="57">
        <v>20300.598445902178</v>
      </c>
      <c r="F167" s="57">
        <v>4622.4412199999997</v>
      </c>
      <c r="G167" s="57">
        <v>4984.4708822851862</v>
      </c>
      <c r="H167" s="58">
        <v>0.26558488619182996</v>
      </c>
      <c r="I167" s="58">
        <v>7.8320014264061655E-2</v>
      </c>
      <c r="J167" s="58">
        <v>0.22369242853792137</v>
      </c>
    </row>
    <row r="168" spans="1:10" ht="11.25" customHeight="1" x14ac:dyDescent="0.2">
      <c r="A168" s="66" t="s">
        <v>25</v>
      </c>
      <c r="B168" s="57">
        <v>0</v>
      </c>
      <c r="C168" s="57">
        <v>0</v>
      </c>
      <c r="D168" s="57">
        <v>16040.487419999999</v>
      </c>
      <c r="E168" s="57">
        <v>20300.598445902178</v>
      </c>
      <c r="F168" s="57">
        <v>4622.4412199999997</v>
      </c>
      <c r="G168" s="57">
        <v>4984.4708822851862</v>
      </c>
      <c r="H168" s="58">
        <v>0.26558488619182996</v>
      </c>
      <c r="I168" s="58">
        <v>7.8320014264061655E-2</v>
      </c>
      <c r="J168" s="58">
        <v>0.22369242853792137</v>
      </c>
    </row>
    <row r="169" spans="1:10" ht="11.25" customHeight="1" x14ac:dyDescent="0.2">
      <c r="A169" s="67">
        <v>44287</v>
      </c>
      <c r="B169" s="57">
        <v>0</v>
      </c>
      <c r="C169" s="57">
        <v>0</v>
      </c>
      <c r="D169" s="57">
        <v>1227.1525899999999</v>
      </c>
      <c r="E169" s="57">
        <v>1553.065770955159</v>
      </c>
      <c r="F169" s="57">
        <v>353.63268999999997</v>
      </c>
      <c r="G169" s="57">
        <v>381.32920732503845</v>
      </c>
      <c r="H169" s="58">
        <v>0.26558488619182974</v>
      </c>
      <c r="I169" s="58">
        <v>7.8320014264061655E-2</v>
      </c>
      <c r="J169" s="58">
        <v>0.22369242853792115</v>
      </c>
    </row>
    <row r="170" spans="1:10" ht="11.25" customHeight="1" x14ac:dyDescent="0.2">
      <c r="A170" s="67">
        <v>44317</v>
      </c>
      <c r="B170" s="57">
        <v>0</v>
      </c>
      <c r="C170" s="57">
        <v>0</v>
      </c>
      <c r="D170" s="57">
        <v>912.83911999999998</v>
      </c>
      <c r="E170" s="57">
        <v>1155.2753937966502</v>
      </c>
      <c r="F170" s="57">
        <v>263.05592000000001</v>
      </c>
      <c r="G170" s="57">
        <v>283.65846340664586</v>
      </c>
      <c r="H170" s="58">
        <v>0.26558488619182996</v>
      </c>
      <c r="I170" s="58">
        <v>7.8320014264061655E-2</v>
      </c>
      <c r="J170" s="58">
        <v>0.22369242853792137</v>
      </c>
    </row>
    <row r="171" spans="1:10" ht="11.25" customHeight="1" x14ac:dyDescent="0.2">
      <c r="A171" s="67">
        <v>44348</v>
      </c>
      <c r="B171" s="57">
        <v>0</v>
      </c>
      <c r="C171" s="57">
        <v>0</v>
      </c>
      <c r="D171" s="57">
        <v>852.63653999999997</v>
      </c>
      <c r="E171" s="57">
        <v>1079.0839184388956</v>
      </c>
      <c r="F171" s="57">
        <v>245.70713999999998</v>
      </c>
      <c r="G171" s="57">
        <v>264.95092670958178</v>
      </c>
      <c r="H171" s="58">
        <v>0.26558488619182996</v>
      </c>
      <c r="I171" s="58">
        <v>7.8320014264061655E-2</v>
      </c>
      <c r="J171" s="58">
        <v>0.22369242853792137</v>
      </c>
    </row>
    <row r="172" spans="1:10" ht="11.25" customHeight="1" x14ac:dyDescent="0.2">
      <c r="A172" s="67">
        <v>44378</v>
      </c>
      <c r="B172" s="57">
        <v>0</v>
      </c>
      <c r="C172" s="57">
        <v>0</v>
      </c>
      <c r="D172" s="57">
        <v>959.04110000000003</v>
      </c>
      <c r="E172" s="57">
        <v>1213.7479213967872</v>
      </c>
      <c r="F172" s="57">
        <v>276.37009999999998</v>
      </c>
      <c r="G172" s="57">
        <v>298.01541017416014</v>
      </c>
      <c r="H172" s="58">
        <v>0.26558488619182974</v>
      </c>
      <c r="I172" s="58">
        <v>7.8320014264061655E-2</v>
      </c>
      <c r="J172" s="58">
        <v>0.22369242853792093</v>
      </c>
    </row>
    <row r="173" spans="1:10" ht="11.25" customHeight="1" x14ac:dyDescent="0.2">
      <c r="A173" s="67">
        <v>44409</v>
      </c>
      <c r="B173" s="57">
        <v>0</v>
      </c>
      <c r="C173" s="57">
        <v>0</v>
      </c>
      <c r="D173" s="57">
        <v>1184.4507599999999</v>
      </c>
      <c r="E173" s="57">
        <v>1499.0229802944261</v>
      </c>
      <c r="F173" s="57">
        <v>341.32715999999999</v>
      </c>
      <c r="G173" s="57">
        <v>368.05990803991165</v>
      </c>
      <c r="H173" s="58">
        <v>0.26558488619182974</v>
      </c>
      <c r="I173" s="58">
        <v>7.8320014264061655E-2</v>
      </c>
      <c r="J173" s="58">
        <v>0.22369242853792115</v>
      </c>
    </row>
    <row r="174" spans="1:10" ht="11.25" customHeight="1" x14ac:dyDescent="0.2">
      <c r="A174" s="67">
        <v>44440</v>
      </c>
      <c r="B174" s="57">
        <v>0</v>
      </c>
      <c r="C174" s="57">
        <v>0</v>
      </c>
      <c r="D174" s="57">
        <v>1146.64914</v>
      </c>
      <c r="E174" s="57">
        <v>1451.1818213488593</v>
      </c>
      <c r="F174" s="57">
        <v>330.43373999999994</v>
      </c>
      <c r="G174" s="57">
        <v>356.31331523012722</v>
      </c>
      <c r="H174" s="58">
        <v>0.26558488619182974</v>
      </c>
      <c r="I174" s="58">
        <v>7.8320014264061877E-2</v>
      </c>
      <c r="J174" s="58">
        <v>0.22369242853792115</v>
      </c>
    </row>
    <row r="175" spans="1:10" ht="11.25" customHeight="1" x14ac:dyDescent="0.2">
      <c r="A175" s="67">
        <v>44470</v>
      </c>
      <c r="B175" s="57">
        <v>0</v>
      </c>
      <c r="C175" s="57">
        <v>0</v>
      </c>
      <c r="D175" s="57">
        <v>1214.55205</v>
      </c>
      <c r="E175" s="57">
        <v>1537.1187179733035</v>
      </c>
      <c r="F175" s="57">
        <v>350.00155000000001</v>
      </c>
      <c r="G175" s="57">
        <v>377.41367638844372</v>
      </c>
      <c r="H175" s="58">
        <v>0.26558488619182974</v>
      </c>
      <c r="I175" s="58">
        <v>7.8320014264061655E-2</v>
      </c>
      <c r="J175" s="58">
        <v>0.22369242853792115</v>
      </c>
    </row>
    <row r="176" spans="1:10" ht="11.25" customHeight="1" x14ac:dyDescent="0.2">
      <c r="A176" s="67">
        <v>44501</v>
      </c>
      <c r="B176" s="57">
        <v>0</v>
      </c>
      <c r="C176" s="57">
        <v>0</v>
      </c>
      <c r="D176" s="57">
        <v>1016.4435599999999</v>
      </c>
      <c r="E176" s="57">
        <v>1286.3956072030182</v>
      </c>
      <c r="F176" s="57">
        <v>292.91195999999997</v>
      </c>
      <c r="G176" s="57">
        <v>315.85282888531424</v>
      </c>
      <c r="H176" s="58">
        <v>0.26558488619182974</v>
      </c>
      <c r="I176" s="58">
        <v>7.8320014264061655E-2</v>
      </c>
      <c r="J176" s="58">
        <v>0.22369242853792115</v>
      </c>
    </row>
    <row r="177" spans="1:10" ht="11.25" customHeight="1" x14ac:dyDescent="0.2">
      <c r="A177" s="67">
        <v>44531</v>
      </c>
      <c r="B177" s="57">
        <v>0</v>
      </c>
      <c r="C177" s="57">
        <v>0</v>
      </c>
      <c r="D177" s="57">
        <v>1256.55385</v>
      </c>
      <c r="E177" s="57">
        <v>1590.2755612461553</v>
      </c>
      <c r="F177" s="57">
        <v>362.10534999999999</v>
      </c>
      <c r="G177" s="57">
        <v>390.46544617709299</v>
      </c>
      <c r="H177" s="58">
        <v>0.26558488619182952</v>
      </c>
      <c r="I177" s="58">
        <v>7.8320014264061655E-2</v>
      </c>
      <c r="J177" s="58">
        <v>0.22369242853792093</v>
      </c>
    </row>
    <row r="178" spans="1:10" ht="11.25" customHeight="1" x14ac:dyDescent="0.2">
      <c r="A178" s="67">
        <v>44562</v>
      </c>
      <c r="B178" s="57">
        <v>0</v>
      </c>
      <c r="C178" s="57">
        <v>0</v>
      </c>
      <c r="D178" s="57">
        <v>1480.5634500000001</v>
      </c>
      <c r="E178" s="57">
        <v>1873.7787253680331</v>
      </c>
      <c r="F178" s="57">
        <v>426.65895</v>
      </c>
      <c r="G178" s="57">
        <v>460.07488504988959</v>
      </c>
      <c r="H178" s="58">
        <v>0.26558488619182974</v>
      </c>
      <c r="I178" s="58">
        <v>7.8320014264061655E-2</v>
      </c>
      <c r="J178" s="58">
        <v>0.22369242853792115</v>
      </c>
    </row>
    <row r="179" spans="1:10" ht="11.25" customHeight="1" x14ac:dyDescent="0.2">
      <c r="A179" s="67">
        <v>44593</v>
      </c>
      <c r="B179" s="57">
        <v>0</v>
      </c>
      <c r="C179" s="57">
        <v>0</v>
      </c>
      <c r="D179" s="57">
        <v>1794.8769199999999</v>
      </c>
      <c r="E179" s="57">
        <v>2271.5691025265419</v>
      </c>
      <c r="F179" s="57">
        <v>517.23572000000001</v>
      </c>
      <c r="G179" s="57">
        <v>557.74562896828218</v>
      </c>
      <c r="H179" s="58">
        <v>0.26558488619182974</v>
      </c>
      <c r="I179" s="58">
        <v>7.8320014264061655E-2</v>
      </c>
      <c r="J179" s="58">
        <v>0.22369242853792115</v>
      </c>
    </row>
    <row r="180" spans="1:10" ht="11.25" customHeight="1" x14ac:dyDescent="0.2">
      <c r="A180" s="67">
        <v>44621</v>
      </c>
      <c r="B180" s="57">
        <v>0</v>
      </c>
      <c r="C180" s="57">
        <v>0</v>
      </c>
      <c r="D180" s="57">
        <v>2994.7283399999997</v>
      </c>
      <c r="E180" s="57">
        <v>3790.082925354347</v>
      </c>
      <c r="F180" s="57">
        <v>863.0009399999999</v>
      </c>
      <c r="G180" s="57">
        <v>930.59118593069843</v>
      </c>
      <c r="H180" s="58">
        <v>0.26558488619182974</v>
      </c>
      <c r="I180" s="58">
        <v>7.8320014264061655E-2</v>
      </c>
      <c r="J180" s="58">
        <v>0.22369242853792093</v>
      </c>
    </row>
    <row r="181" spans="1:10" ht="11.25" customHeight="1" x14ac:dyDescent="0.2">
      <c r="A181" s="60" t="s">
        <v>40</v>
      </c>
      <c r="B181" s="57">
        <v>0</v>
      </c>
      <c r="C181" s="57">
        <v>0</v>
      </c>
      <c r="D181" s="57">
        <v>1099031.82504</v>
      </c>
      <c r="E181" s="57">
        <v>1370580.2055859268</v>
      </c>
      <c r="F181" s="57">
        <v>269159.62408000004</v>
      </c>
      <c r="G181" s="57">
        <v>290227.78459082713</v>
      </c>
      <c r="H181" s="58">
        <v>0.2470796335092873</v>
      </c>
      <c r="I181" s="58">
        <v>7.8273851744439682E-2</v>
      </c>
      <c r="J181" s="58">
        <v>0.21387104943899482</v>
      </c>
    </row>
    <row r="182" spans="1:10" ht="11.25" customHeight="1" x14ac:dyDescent="0.2">
      <c r="A182" s="61" t="s">
        <v>23</v>
      </c>
      <c r="B182" s="57">
        <v>0</v>
      </c>
      <c r="C182" s="57">
        <v>0</v>
      </c>
      <c r="D182" s="57">
        <v>1099031.82504</v>
      </c>
      <c r="E182" s="57">
        <v>1370580.2055859268</v>
      </c>
      <c r="F182" s="57">
        <v>269159.62408000004</v>
      </c>
      <c r="G182" s="57">
        <v>290227.78459082713</v>
      </c>
      <c r="H182" s="58">
        <v>0.2470796335092873</v>
      </c>
      <c r="I182" s="58">
        <v>7.8273851744439682E-2</v>
      </c>
      <c r="J182" s="58">
        <v>0.21387104943899482</v>
      </c>
    </row>
    <row r="183" spans="1:10" ht="11.25" customHeight="1" x14ac:dyDescent="0.2">
      <c r="A183" s="62" t="s">
        <v>41</v>
      </c>
      <c r="B183" s="57">
        <v>0</v>
      </c>
      <c r="C183" s="57">
        <v>0</v>
      </c>
      <c r="D183" s="57">
        <v>1099031.82504</v>
      </c>
      <c r="E183" s="57">
        <v>1370580.2055859268</v>
      </c>
      <c r="F183" s="57">
        <v>269159.62408000004</v>
      </c>
      <c r="G183" s="57">
        <v>290227.78459082713</v>
      </c>
      <c r="H183" s="58">
        <v>0.2470796335092873</v>
      </c>
      <c r="I183" s="58">
        <v>7.8273851744439682E-2</v>
      </c>
      <c r="J183" s="58">
        <v>0.21387104943899482</v>
      </c>
    </row>
    <row r="184" spans="1:10" ht="11.25" customHeight="1" x14ac:dyDescent="0.2">
      <c r="A184" s="63" t="s">
        <v>49</v>
      </c>
      <c r="B184" s="57">
        <v>0</v>
      </c>
      <c r="C184" s="57">
        <v>0</v>
      </c>
      <c r="D184" s="57">
        <v>587.16090000000008</v>
      </c>
      <c r="E184" s="57">
        <v>732.23639998298358</v>
      </c>
      <c r="F184" s="57">
        <v>143.79929999999996</v>
      </c>
      <c r="G184" s="57">
        <v>155.05502508915427</v>
      </c>
      <c r="H184" s="58">
        <v>0.24707963350928752</v>
      </c>
      <c r="I184" s="58">
        <v>7.8273851744440348E-2</v>
      </c>
      <c r="J184" s="58">
        <v>0.21387104943899526</v>
      </c>
    </row>
    <row r="185" spans="1:10" ht="11.25" customHeight="1" x14ac:dyDescent="0.2">
      <c r="A185" s="64" t="s">
        <v>50</v>
      </c>
      <c r="B185" s="57">
        <v>0</v>
      </c>
      <c r="C185" s="57">
        <v>0</v>
      </c>
      <c r="D185" s="57">
        <v>587.16090000000008</v>
      </c>
      <c r="E185" s="57">
        <v>732.23639998298358</v>
      </c>
      <c r="F185" s="57">
        <v>143.79929999999996</v>
      </c>
      <c r="G185" s="57">
        <v>155.05502508915427</v>
      </c>
      <c r="H185" s="58">
        <v>0.24707963350928752</v>
      </c>
      <c r="I185" s="58">
        <v>7.8273851744440348E-2</v>
      </c>
      <c r="J185" s="58">
        <v>0.21387104943899526</v>
      </c>
    </row>
    <row r="186" spans="1:10" ht="11.25" customHeight="1" x14ac:dyDescent="0.2">
      <c r="A186" s="65" t="s">
        <v>25</v>
      </c>
      <c r="B186" s="57">
        <v>0</v>
      </c>
      <c r="C186" s="57">
        <v>0</v>
      </c>
      <c r="D186" s="57">
        <v>587.16090000000008</v>
      </c>
      <c r="E186" s="57">
        <v>732.23639998298358</v>
      </c>
      <c r="F186" s="57">
        <v>143.79929999999996</v>
      </c>
      <c r="G186" s="57">
        <v>155.05502508915427</v>
      </c>
      <c r="H186" s="58">
        <v>0.24707963350928752</v>
      </c>
      <c r="I186" s="58">
        <v>7.8273851744440348E-2</v>
      </c>
      <c r="J186" s="58">
        <v>0.21387104943899526</v>
      </c>
    </row>
    <row r="187" spans="1:10" ht="11.25" customHeight="1" x14ac:dyDescent="0.2">
      <c r="A187" s="66" t="s">
        <v>25</v>
      </c>
      <c r="B187" s="57">
        <v>0</v>
      </c>
      <c r="C187" s="57">
        <v>0</v>
      </c>
      <c r="D187" s="57">
        <v>587.16090000000008</v>
      </c>
      <c r="E187" s="57">
        <v>732.23639998298358</v>
      </c>
      <c r="F187" s="57">
        <v>143.79929999999996</v>
      </c>
      <c r="G187" s="57">
        <v>155.05502508915427</v>
      </c>
      <c r="H187" s="58">
        <v>0.24707963350928752</v>
      </c>
      <c r="I187" s="58">
        <v>7.8273851744440348E-2</v>
      </c>
      <c r="J187" s="58">
        <v>0.21387104943899526</v>
      </c>
    </row>
    <row r="188" spans="1:10" ht="11.25" customHeight="1" x14ac:dyDescent="0.2">
      <c r="A188" s="67">
        <v>44287</v>
      </c>
      <c r="B188" s="57">
        <v>0</v>
      </c>
      <c r="C188" s="57">
        <v>0</v>
      </c>
      <c r="D188" s="57">
        <v>36.244500000000002</v>
      </c>
      <c r="E188" s="57">
        <v>45.19977777672738</v>
      </c>
      <c r="F188" s="57">
        <v>8.8765000000000001</v>
      </c>
      <c r="G188" s="57">
        <v>9.5712978450095232</v>
      </c>
      <c r="H188" s="58">
        <v>0.24707963350928774</v>
      </c>
      <c r="I188" s="58">
        <v>7.8273851744440126E-2</v>
      </c>
      <c r="J188" s="58">
        <v>0.21387104943899526</v>
      </c>
    </row>
    <row r="189" spans="1:10" ht="11.25" customHeight="1" x14ac:dyDescent="0.2">
      <c r="A189" s="67">
        <v>44317</v>
      </c>
      <c r="B189" s="57">
        <v>0</v>
      </c>
      <c r="C189" s="57">
        <v>0</v>
      </c>
      <c r="D189" s="57">
        <v>43.493399999999994</v>
      </c>
      <c r="E189" s="57">
        <v>54.239733332072852</v>
      </c>
      <c r="F189" s="57">
        <v>10.6518</v>
      </c>
      <c r="G189" s="57">
        <v>11.485557414011426</v>
      </c>
      <c r="H189" s="58">
        <v>0.24707963350928774</v>
      </c>
      <c r="I189" s="58">
        <v>7.8273851744440126E-2</v>
      </c>
      <c r="J189" s="58">
        <v>0.21387104943899526</v>
      </c>
    </row>
    <row r="190" spans="1:10" ht="11.25" customHeight="1" x14ac:dyDescent="0.2">
      <c r="A190" s="67">
        <v>44348</v>
      </c>
      <c r="B190" s="57">
        <v>0</v>
      </c>
      <c r="C190" s="57">
        <v>0</v>
      </c>
      <c r="D190" s="57">
        <v>36.244500000000002</v>
      </c>
      <c r="E190" s="57">
        <v>45.19977777672738</v>
      </c>
      <c r="F190" s="57">
        <v>8.8765000000000001</v>
      </c>
      <c r="G190" s="57">
        <v>9.5712978450095232</v>
      </c>
      <c r="H190" s="58">
        <v>0.24707963350928774</v>
      </c>
      <c r="I190" s="58">
        <v>7.8273851744440126E-2</v>
      </c>
      <c r="J190" s="58">
        <v>0.21387104943899526</v>
      </c>
    </row>
    <row r="191" spans="1:10" ht="11.25" customHeight="1" x14ac:dyDescent="0.2">
      <c r="A191" s="67">
        <v>44378</v>
      </c>
      <c r="B191" s="57">
        <v>0</v>
      </c>
      <c r="C191" s="57">
        <v>0</v>
      </c>
      <c r="D191" s="57">
        <v>36.244500000000002</v>
      </c>
      <c r="E191" s="57">
        <v>45.19977777672738</v>
      </c>
      <c r="F191" s="57">
        <v>8.8765000000000001</v>
      </c>
      <c r="G191" s="57">
        <v>9.5712978450095232</v>
      </c>
      <c r="H191" s="58">
        <v>0.24707963350928774</v>
      </c>
      <c r="I191" s="58">
        <v>7.8273851744440126E-2</v>
      </c>
      <c r="J191" s="58">
        <v>0.21387104943899526</v>
      </c>
    </row>
    <row r="192" spans="1:10" ht="11.25" customHeight="1" x14ac:dyDescent="0.2">
      <c r="A192" s="67">
        <v>44409</v>
      </c>
      <c r="B192" s="57">
        <v>0</v>
      </c>
      <c r="C192" s="57">
        <v>0</v>
      </c>
      <c r="D192" s="57">
        <v>125.40596999999998</v>
      </c>
      <c r="E192" s="57">
        <v>156.3912311074767</v>
      </c>
      <c r="F192" s="57">
        <v>30.712689999999998</v>
      </c>
      <c r="G192" s="57">
        <v>33.116690543732943</v>
      </c>
      <c r="H192" s="58">
        <v>0.24707963350928774</v>
      </c>
      <c r="I192" s="58">
        <v>7.8273851744439904E-2</v>
      </c>
      <c r="J192" s="58">
        <v>0.21387104943899504</v>
      </c>
    </row>
    <row r="193" spans="1:10" ht="11.25" customHeight="1" x14ac:dyDescent="0.2">
      <c r="A193" s="67">
        <v>44440</v>
      </c>
      <c r="B193" s="57">
        <v>0</v>
      </c>
      <c r="C193" s="57">
        <v>0</v>
      </c>
      <c r="D193" s="57">
        <v>92.061030000000002</v>
      </c>
      <c r="E193" s="57">
        <v>114.80743555288754</v>
      </c>
      <c r="F193" s="57">
        <v>22.546310000000002</v>
      </c>
      <c r="G193" s="57">
        <v>24.311096526324185</v>
      </c>
      <c r="H193" s="58">
        <v>0.24707963350928774</v>
      </c>
      <c r="I193" s="58">
        <v>7.8273851744439904E-2</v>
      </c>
      <c r="J193" s="58">
        <v>0.21387104943899504</v>
      </c>
    </row>
    <row r="194" spans="1:10" ht="11.25" customHeight="1" x14ac:dyDescent="0.2">
      <c r="A194" s="67">
        <v>44470</v>
      </c>
      <c r="B194" s="57">
        <v>0</v>
      </c>
      <c r="C194" s="57">
        <v>0</v>
      </c>
      <c r="D194" s="57">
        <v>36.244500000000002</v>
      </c>
      <c r="E194" s="57">
        <v>45.19977777672738</v>
      </c>
      <c r="F194" s="57">
        <v>8.8765000000000001</v>
      </c>
      <c r="G194" s="57">
        <v>9.5712978450095232</v>
      </c>
      <c r="H194" s="58">
        <v>0.24707963350928774</v>
      </c>
      <c r="I194" s="58">
        <v>7.8273851744440126E-2</v>
      </c>
      <c r="J194" s="58">
        <v>0.21387104943899526</v>
      </c>
    </row>
    <row r="195" spans="1:10" ht="11.25" customHeight="1" x14ac:dyDescent="0.2">
      <c r="A195" s="67">
        <v>44501</v>
      </c>
      <c r="B195" s="57">
        <v>0</v>
      </c>
      <c r="C195" s="57">
        <v>0</v>
      </c>
      <c r="D195" s="57">
        <v>36.244500000000002</v>
      </c>
      <c r="E195" s="57">
        <v>45.19977777672738</v>
      </c>
      <c r="F195" s="57">
        <v>8.8765000000000001</v>
      </c>
      <c r="G195" s="57">
        <v>9.5712978450095232</v>
      </c>
      <c r="H195" s="58">
        <v>0.24707963350928774</v>
      </c>
      <c r="I195" s="58">
        <v>7.8273851744440126E-2</v>
      </c>
      <c r="J195" s="58">
        <v>0.21387104943899526</v>
      </c>
    </row>
    <row r="196" spans="1:10" ht="11.25" customHeight="1" x14ac:dyDescent="0.2">
      <c r="A196" s="67">
        <v>44531</v>
      </c>
      <c r="B196" s="57">
        <v>0</v>
      </c>
      <c r="C196" s="57">
        <v>0</v>
      </c>
      <c r="D196" s="57">
        <v>36.244500000000002</v>
      </c>
      <c r="E196" s="57">
        <v>45.19977777672738</v>
      </c>
      <c r="F196" s="57">
        <v>8.8765000000000001</v>
      </c>
      <c r="G196" s="57">
        <v>9.5712978450095232</v>
      </c>
      <c r="H196" s="58">
        <v>0.24707963350928774</v>
      </c>
      <c r="I196" s="58">
        <v>7.8273851744440126E-2</v>
      </c>
      <c r="J196" s="58">
        <v>0.21387104943899526</v>
      </c>
    </row>
    <row r="197" spans="1:10" ht="11.25" customHeight="1" x14ac:dyDescent="0.2">
      <c r="A197" s="67">
        <v>44562</v>
      </c>
      <c r="B197" s="57">
        <v>0</v>
      </c>
      <c r="C197" s="57">
        <v>0</v>
      </c>
      <c r="D197" s="57">
        <v>36.244500000000002</v>
      </c>
      <c r="E197" s="57">
        <v>45.19977777672738</v>
      </c>
      <c r="F197" s="57">
        <v>8.8765000000000001</v>
      </c>
      <c r="G197" s="57">
        <v>9.5712978450095232</v>
      </c>
      <c r="H197" s="58">
        <v>0.24707963350928774</v>
      </c>
      <c r="I197" s="58">
        <v>7.8273851744440126E-2</v>
      </c>
      <c r="J197" s="58">
        <v>0.21387104943899526</v>
      </c>
    </row>
    <row r="198" spans="1:10" ht="11.25" customHeight="1" x14ac:dyDescent="0.2">
      <c r="A198" s="67">
        <v>44593</v>
      </c>
      <c r="B198" s="57">
        <v>0</v>
      </c>
      <c r="C198" s="57">
        <v>0</v>
      </c>
      <c r="D198" s="57">
        <v>36.244500000000002</v>
      </c>
      <c r="E198" s="57">
        <v>45.19977777672738</v>
      </c>
      <c r="F198" s="57">
        <v>8.8765000000000001</v>
      </c>
      <c r="G198" s="57">
        <v>9.5712978450095232</v>
      </c>
      <c r="H198" s="58">
        <v>0.24707963350928774</v>
      </c>
      <c r="I198" s="58">
        <v>7.8273851744440126E-2</v>
      </c>
      <c r="J198" s="58">
        <v>0.21387104943899526</v>
      </c>
    </row>
    <row r="199" spans="1:10" ht="11.25" customHeight="1" x14ac:dyDescent="0.2">
      <c r="A199" s="67">
        <v>44621</v>
      </c>
      <c r="B199" s="57">
        <v>0</v>
      </c>
      <c r="C199" s="57">
        <v>0</v>
      </c>
      <c r="D199" s="57">
        <v>36.244500000000002</v>
      </c>
      <c r="E199" s="57">
        <v>45.19977777672738</v>
      </c>
      <c r="F199" s="57">
        <v>8.8765000000000001</v>
      </c>
      <c r="G199" s="57">
        <v>9.5712978450095232</v>
      </c>
      <c r="H199" s="58">
        <v>0.24707963350928774</v>
      </c>
      <c r="I199" s="58">
        <v>7.8273851744440126E-2</v>
      </c>
      <c r="J199" s="58">
        <v>0.21387104943899526</v>
      </c>
    </row>
    <row r="200" spans="1:10" ht="11.25" customHeight="1" x14ac:dyDescent="0.2">
      <c r="A200" s="63" t="s">
        <v>25</v>
      </c>
      <c r="B200" s="57">
        <v>0</v>
      </c>
      <c r="C200" s="57">
        <v>0</v>
      </c>
      <c r="D200" s="57">
        <v>1098444.66414</v>
      </c>
      <c r="E200" s="57">
        <v>1369847.9691859437</v>
      </c>
      <c r="F200" s="57">
        <v>269015.82478000002</v>
      </c>
      <c r="G200" s="57">
        <v>290072.729565738</v>
      </c>
      <c r="H200" s="58">
        <v>0.2470796335092873</v>
      </c>
      <c r="I200" s="58">
        <v>7.8273851744439904E-2</v>
      </c>
      <c r="J200" s="58">
        <v>0.21387104943899482</v>
      </c>
    </row>
    <row r="201" spans="1:10" ht="11.25" customHeight="1" x14ac:dyDescent="0.2">
      <c r="A201" s="64" t="s">
        <v>25</v>
      </c>
      <c r="B201" s="57">
        <v>0</v>
      </c>
      <c r="C201" s="57">
        <v>0</v>
      </c>
      <c r="D201" s="57">
        <v>1098444.66414</v>
      </c>
      <c r="E201" s="57">
        <v>1369847.9691859437</v>
      </c>
      <c r="F201" s="57">
        <v>269015.82478000002</v>
      </c>
      <c r="G201" s="57">
        <v>290072.729565738</v>
      </c>
      <c r="H201" s="58">
        <v>0.2470796335092873</v>
      </c>
      <c r="I201" s="58">
        <v>7.8273851744439904E-2</v>
      </c>
      <c r="J201" s="58">
        <v>0.21387104943899482</v>
      </c>
    </row>
    <row r="202" spans="1:10" ht="11.25" customHeight="1" x14ac:dyDescent="0.2">
      <c r="A202" s="65" t="s">
        <v>25</v>
      </c>
      <c r="B202" s="57">
        <v>0</v>
      </c>
      <c r="C202" s="57">
        <v>0</v>
      </c>
      <c r="D202" s="57">
        <v>1098444.66414</v>
      </c>
      <c r="E202" s="57">
        <v>1369847.9691859437</v>
      </c>
      <c r="F202" s="57">
        <v>269015.82478000002</v>
      </c>
      <c r="G202" s="57">
        <v>290072.729565738</v>
      </c>
      <c r="H202" s="58">
        <v>0.2470796335092873</v>
      </c>
      <c r="I202" s="58">
        <v>7.8273851744439904E-2</v>
      </c>
      <c r="J202" s="58">
        <v>0.21387104943899482</v>
      </c>
    </row>
    <row r="203" spans="1:10" ht="11.25" customHeight="1" x14ac:dyDescent="0.2">
      <c r="A203" s="66" t="s">
        <v>25</v>
      </c>
      <c r="B203" s="57">
        <v>0</v>
      </c>
      <c r="C203" s="57">
        <v>0</v>
      </c>
      <c r="D203" s="57">
        <v>1098444.66414</v>
      </c>
      <c r="E203" s="57">
        <v>1369847.9691859437</v>
      </c>
      <c r="F203" s="57">
        <v>269015.82478000002</v>
      </c>
      <c r="G203" s="57">
        <v>290072.729565738</v>
      </c>
      <c r="H203" s="58">
        <v>0.2470796335092873</v>
      </c>
      <c r="I203" s="58">
        <v>7.8273851744439904E-2</v>
      </c>
      <c r="J203" s="58">
        <v>0.21387104943899482</v>
      </c>
    </row>
    <row r="204" spans="1:10" ht="11.25" customHeight="1" x14ac:dyDescent="0.2">
      <c r="A204" s="67">
        <v>44287</v>
      </c>
      <c r="B204" s="57">
        <v>0</v>
      </c>
      <c r="C204" s="57">
        <v>0</v>
      </c>
      <c r="D204" s="57">
        <v>91586.951939999999</v>
      </c>
      <c r="E204" s="57">
        <v>114216.22245956793</v>
      </c>
      <c r="F204" s="57">
        <v>22430.205379999999</v>
      </c>
      <c r="G204" s="57">
        <v>24185.90395051146</v>
      </c>
      <c r="H204" s="58">
        <v>0.24707963350928752</v>
      </c>
      <c r="I204" s="58">
        <v>7.8273851744439904E-2</v>
      </c>
      <c r="J204" s="58">
        <v>0.21387104943899504</v>
      </c>
    </row>
    <row r="205" spans="1:10" ht="11.25" customHeight="1" x14ac:dyDescent="0.2">
      <c r="A205" s="67">
        <v>44317</v>
      </c>
      <c r="B205" s="57">
        <v>0</v>
      </c>
      <c r="C205" s="57">
        <v>0</v>
      </c>
      <c r="D205" s="57">
        <v>90145.145730000004</v>
      </c>
      <c r="E205" s="57">
        <v>112418.17529960973</v>
      </c>
      <c r="F205" s="57">
        <v>22077.09821</v>
      </c>
      <c r="G205" s="57">
        <v>23805.157722236981</v>
      </c>
      <c r="H205" s="58">
        <v>0.24707963350928774</v>
      </c>
      <c r="I205" s="58">
        <v>7.8273851744439904E-2</v>
      </c>
      <c r="J205" s="58">
        <v>0.21387104943899526</v>
      </c>
    </row>
    <row r="206" spans="1:10" ht="11.25" customHeight="1" x14ac:dyDescent="0.2">
      <c r="A206" s="67">
        <v>44348</v>
      </c>
      <c r="B206" s="57">
        <v>0</v>
      </c>
      <c r="C206" s="57">
        <v>0</v>
      </c>
      <c r="D206" s="57">
        <v>93826.862039999993</v>
      </c>
      <c r="E206" s="57">
        <v>117009.56872616969</v>
      </c>
      <c r="F206" s="57">
        <v>22978.773079999999</v>
      </c>
      <c r="G206" s="57">
        <v>24777.410157333048</v>
      </c>
      <c r="H206" s="58">
        <v>0.24707963350928774</v>
      </c>
      <c r="I206" s="58">
        <v>7.8273851744439904E-2</v>
      </c>
      <c r="J206" s="58">
        <v>0.21387104943899526</v>
      </c>
    </row>
    <row r="207" spans="1:10" ht="11.25" customHeight="1" x14ac:dyDescent="0.2">
      <c r="A207" s="67">
        <v>44378</v>
      </c>
      <c r="B207" s="57">
        <v>0</v>
      </c>
      <c r="C207" s="57">
        <v>0</v>
      </c>
      <c r="D207" s="57">
        <v>85880.617859999998</v>
      </c>
      <c r="E207" s="57">
        <v>107099.96944639998</v>
      </c>
      <c r="F207" s="57">
        <v>21032.68922</v>
      </c>
      <c r="G207" s="57">
        <v>22678.998817793163</v>
      </c>
      <c r="H207" s="58">
        <v>0.24707963350928752</v>
      </c>
      <c r="I207" s="58">
        <v>7.8273851744440126E-2</v>
      </c>
      <c r="J207" s="58">
        <v>0.21387104943899504</v>
      </c>
    </row>
    <row r="208" spans="1:10" ht="11.25" customHeight="1" x14ac:dyDescent="0.2">
      <c r="A208" s="67">
        <v>44409</v>
      </c>
      <c r="B208" s="57">
        <v>0</v>
      </c>
      <c r="C208" s="57">
        <v>0</v>
      </c>
      <c r="D208" s="57">
        <v>88591.706460000001</v>
      </c>
      <c r="E208" s="57">
        <v>110480.91282409918</v>
      </c>
      <c r="F208" s="57">
        <v>21696.651419999998</v>
      </c>
      <c r="G208" s="57">
        <v>23394.931896599875</v>
      </c>
      <c r="H208" s="58">
        <v>0.24707963350928752</v>
      </c>
      <c r="I208" s="58">
        <v>7.8273851744440126E-2</v>
      </c>
      <c r="J208" s="58">
        <v>0.21387104943899526</v>
      </c>
    </row>
    <row r="209" spans="1:10" ht="11.25" customHeight="1" x14ac:dyDescent="0.2">
      <c r="A209" s="67">
        <v>44440</v>
      </c>
      <c r="B209" s="57">
        <v>0</v>
      </c>
      <c r="C209" s="57">
        <v>0</v>
      </c>
      <c r="D209" s="57">
        <v>95136.013379999989</v>
      </c>
      <c r="E209" s="57">
        <v>118642.18469946507</v>
      </c>
      <c r="F209" s="57">
        <v>23299.392259999997</v>
      </c>
      <c r="G209" s="57">
        <v>25123.125435494792</v>
      </c>
      <c r="H209" s="58">
        <v>0.24707963350928752</v>
      </c>
      <c r="I209" s="58">
        <v>7.8273851744440126E-2</v>
      </c>
      <c r="J209" s="58">
        <v>0.21387104943899526</v>
      </c>
    </row>
    <row r="210" spans="1:10" ht="11.25" customHeight="1" x14ac:dyDescent="0.2">
      <c r="A210" s="67">
        <v>44470</v>
      </c>
      <c r="B210" s="57">
        <v>0</v>
      </c>
      <c r="C210" s="57">
        <v>0</v>
      </c>
      <c r="D210" s="57">
        <v>85510.92396</v>
      </c>
      <c r="E210" s="57">
        <v>106638.93171307737</v>
      </c>
      <c r="F210" s="57">
        <v>20942.14892</v>
      </c>
      <c r="G210" s="57">
        <v>22581.37157977407</v>
      </c>
      <c r="H210" s="58">
        <v>0.24707963350928774</v>
      </c>
      <c r="I210" s="58">
        <v>7.8273851744440348E-2</v>
      </c>
      <c r="J210" s="58">
        <v>0.21387104943899526</v>
      </c>
    </row>
    <row r="211" spans="1:10" ht="11.25" customHeight="1" x14ac:dyDescent="0.2">
      <c r="A211" s="67">
        <v>44501</v>
      </c>
      <c r="B211" s="57">
        <v>0</v>
      </c>
      <c r="C211" s="57">
        <v>0</v>
      </c>
      <c r="D211" s="57">
        <v>90754.053329999995</v>
      </c>
      <c r="E211" s="57">
        <v>113177.53156625874</v>
      </c>
      <c r="F211" s="57">
        <v>22226.223409999999</v>
      </c>
      <c r="G211" s="57">
        <v>23965.95552603314</v>
      </c>
      <c r="H211" s="58">
        <v>0.24707963350928752</v>
      </c>
      <c r="I211" s="58">
        <v>7.8273851744439904E-2</v>
      </c>
      <c r="J211" s="58">
        <v>0.21387104943899504</v>
      </c>
    </row>
    <row r="212" spans="1:10" ht="11.25" customHeight="1" x14ac:dyDescent="0.2">
      <c r="A212" s="67">
        <v>44531</v>
      </c>
      <c r="B212" s="57">
        <v>0</v>
      </c>
      <c r="C212" s="57">
        <v>0</v>
      </c>
      <c r="D212" s="57">
        <v>94332.11036999998</v>
      </c>
      <c r="E212" s="57">
        <v>117639.65362837727</v>
      </c>
      <c r="F212" s="57">
        <v>23102.511490000001</v>
      </c>
      <c r="G212" s="57">
        <v>24910.834049292484</v>
      </c>
      <c r="H212" s="58">
        <v>0.24707963350928797</v>
      </c>
      <c r="I212" s="58">
        <v>7.8273851744440126E-2</v>
      </c>
      <c r="J212" s="58">
        <v>0.21387104943899526</v>
      </c>
    </row>
    <row r="213" spans="1:10" ht="11.25" customHeight="1" x14ac:dyDescent="0.2">
      <c r="A213" s="67">
        <v>44562</v>
      </c>
      <c r="B213" s="57">
        <v>0</v>
      </c>
      <c r="C213" s="57">
        <v>0</v>
      </c>
      <c r="D213" s="57">
        <v>97200.500100000005</v>
      </c>
      <c r="E213" s="57">
        <v>121216.76404162748</v>
      </c>
      <c r="F213" s="57">
        <v>23804.997700000004</v>
      </c>
      <c r="G213" s="57">
        <v>25668.30656074654</v>
      </c>
      <c r="H213" s="58">
        <v>0.24707963350928752</v>
      </c>
      <c r="I213" s="58">
        <v>7.8273851744440126E-2</v>
      </c>
      <c r="J213" s="58">
        <v>0.21387104943899526</v>
      </c>
    </row>
    <row r="214" spans="1:10" ht="11.25" customHeight="1" x14ac:dyDescent="0.2">
      <c r="A214" s="67">
        <v>44593</v>
      </c>
      <c r="B214" s="57">
        <v>0</v>
      </c>
      <c r="C214" s="57">
        <v>0</v>
      </c>
      <c r="D214" s="57">
        <v>95554.999799999991</v>
      </c>
      <c r="E214" s="57">
        <v>119164.69413056405</v>
      </c>
      <c r="F214" s="57">
        <v>23402.0046</v>
      </c>
      <c r="G214" s="57">
        <v>25233.769638583104</v>
      </c>
      <c r="H214" s="58">
        <v>0.24707963350928774</v>
      </c>
      <c r="I214" s="58">
        <v>7.8273851744440126E-2</v>
      </c>
      <c r="J214" s="58">
        <v>0.21387104943899504</v>
      </c>
    </row>
    <row r="215" spans="1:10" ht="11.25" customHeight="1" x14ac:dyDescent="0.2">
      <c r="A215" s="67">
        <v>44621</v>
      </c>
      <c r="B215" s="57">
        <v>0</v>
      </c>
      <c r="C215" s="57">
        <v>0</v>
      </c>
      <c r="D215" s="57">
        <v>89924.779169999994</v>
      </c>
      <c r="E215" s="57">
        <v>112143.36065072722</v>
      </c>
      <c r="F215" s="57">
        <v>22023.129089999999</v>
      </c>
      <c r="G215" s="57">
        <v>23746.964231339323</v>
      </c>
      <c r="H215" s="58">
        <v>0.24707963350928774</v>
      </c>
      <c r="I215" s="58">
        <v>7.8273851744440126E-2</v>
      </c>
      <c r="J215" s="58">
        <v>0.21387104943899504</v>
      </c>
    </row>
    <row r="216" spans="1:10" ht="11.25" customHeight="1" x14ac:dyDescent="0.2">
      <c r="A216" s="60" t="s">
        <v>33</v>
      </c>
      <c r="B216" s="57">
        <v>0</v>
      </c>
      <c r="C216" s="57">
        <v>0</v>
      </c>
      <c r="D216" s="57">
        <v>5365073.069214005</v>
      </c>
      <c r="E216" s="57">
        <v>6690662.2810258279</v>
      </c>
      <c r="F216" s="57">
        <v>1313880.8243530001</v>
      </c>
      <c r="G216" s="57">
        <v>1416783.9892576039</v>
      </c>
      <c r="H216" s="58">
        <v>0.24707756906767164</v>
      </c>
      <c r="I216" s="58">
        <v>7.8320014264061655E-2</v>
      </c>
      <c r="J216" s="58">
        <v>0.21387965832378608</v>
      </c>
    </row>
    <row r="217" spans="1:10" ht="11.25" customHeight="1" x14ac:dyDescent="0.2">
      <c r="A217" s="61" t="s">
        <v>23</v>
      </c>
      <c r="B217" s="57">
        <v>0</v>
      </c>
      <c r="C217" s="57">
        <v>0</v>
      </c>
      <c r="D217" s="57">
        <v>5365073.069214005</v>
      </c>
      <c r="E217" s="57">
        <v>6690662.2810258279</v>
      </c>
      <c r="F217" s="57">
        <v>1313880.8243530001</v>
      </c>
      <c r="G217" s="57">
        <v>1416783.9892576039</v>
      </c>
      <c r="H217" s="58">
        <v>0.24707756906767164</v>
      </c>
      <c r="I217" s="58">
        <v>7.8320014264061655E-2</v>
      </c>
      <c r="J217" s="58">
        <v>0.21387965832378608</v>
      </c>
    </row>
    <row r="218" spans="1:10" ht="11.25" customHeight="1" x14ac:dyDescent="0.2">
      <c r="A218" s="62" t="s">
        <v>35</v>
      </c>
      <c r="B218" s="57">
        <v>0</v>
      </c>
      <c r="C218" s="57">
        <v>0</v>
      </c>
      <c r="D218" s="57">
        <v>5060953.9450200014</v>
      </c>
      <c r="E218" s="57">
        <v>6311402.1429189853</v>
      </c>
      <c r="F218" s="57">
        <v>1239403.5002899999</v>
      </c>
      <c r="G218" s="57">
        <v>1336473.6001116405</v>
      </c>
      <c r="H218" s="58">
        <v>0.24707756906767164</v>
      </c>
      <c r="I218" s="58">
        <v>7.8320014264061211E-2</v>
      </c>
      <c r="J218" s="58">
        <v>0.21387965832378608</v>
      </c>
    </row>
    <row r="219" spans="1:10" ht="11.25" customHeight="1" x14ac:dyDescent="0.2">
      <c r="A219" s="63" t="s">
        <v>25</v>
      </c>
      <c r="B219" s="57">
        <v>0</v>
      </c>
      <c r="C219" s="57">
        <v>0</v>
      </c>
      <c r="D219" s="57">
        <v>5060953.9450200014</v>
      </c>
      <c r="E219" s="57">
        <v>6311402.1429189853</v>
      </c>
      <c r="F219" s="57">
        <v>1239403.5002899999</v>
      </c>
      <c r="G219" s="57">
        <v>1336473.6001116405</v>
      </c>
      <c r="H219" s="58">
        <v>0.24707756906767164</v>
      </c>
      <c r="I219" s="58">
        <v>7.8320014264061211E-2</v>
      </c>
      <c r="J219" s="58">
        <v>0.21387965832378608</v>
      </c>
    </row>
    <row r="220" spans="1:10" ht="11.25" customHeight="1" x14ac:dyDescent="0.2">
      <c r="A220" s="64" t="s">
        <v>25</v>
      </c>
      <c r="B220" s="57">
        <v>0</v>
      </c>
      <c r="C220" s="57">
        <v>0</v>
      </c>
      <c r="D220" s="57">
        <v>5060953.9450200014</v>
      </c>
      <c r="E220" s="57">
        <v>6311402.1429189853</v>
      </c>
      <c r="F220" s="57">
        <v>1239403.5002899999</v>
      </c>
      <c r="G220" s="57">
        <v>1336473.6001116405</v>
      </c>
      <c r="H220" s="58">
        <v>0.24707756906767164</v>
      </c>
      <c r="I220" s="58">
        <v>7.8320014264061211E-2</v>
      </c>
      <c r="J220" s="58">
        <v>0.21387965832378608</v>
      </c>
    </row>
    <row r="221" spans="1:10" ht="11.25" customHeight="1" x14ac:dyDescent="0.2">
      <c r="A221" s="65" t="s">
        <v>25</v>
      </c>
      <c r="B221" s="57">
        <v>0</v>
      </c>
      <c r="C221" s="57">
        <v>0</v>
      </c>
      <c r="D221" s="57">
        <v>5060953.9450200014</v>
      </c>
      <c r="E221" s="57">
        <v>6311402.1429189853</v>
      </c>
      <c r="F221" s="57">
        <v>1239403.5002899999</v>
      </c>
      <c r="G221" s="57">
        <v>1336473.6001116405</v>
      </c>
      <c r="H221" s="58">
        <v>0.24707756906767164</v>
      </c>
      <c r="I221" s="58">
        <v>7.8320014264061211E-2</v>
      </c>
      <c r="J221" s="58">
        <v>0.21387965832378608</v>
      </c>
    </row>
    <row r="222" spans="1:10" ht="11.25" customHeight="1" x14ac:dyDescent="0.2">
      <c r="A222" s="66" t="s">
        <v>25</v>
      </c>
      <c r="B222" s="57">
        <v>0</v>
      </c>
      <c r="C222" s="57">
        <v>0</v>
      </c>
      <c r="D222" s="57">
        <v>5060953.9450200014</v>
      </c>
      <c r="E222" s="57">
        <v>6311402.1429189853</v>
      </c>
      <c r="F222" s="57">
        <v>1239403.5002899999</v>
      </c>
      <c r="G222" s="57">
        <v>1336473.6001116405</v>
      </c>
      <c r="H222" s="58">
        <v>0.24707756906767164</v>
      </c>
      <c r="I222" s="58">
        <v>7.8320014264061211E-2</v>
      </c>
      <c r="J222" s="58">
        <v>0.21387965832378608</v>
      </c>
    </row>
    <row r="223" spans="1:10" ht="11.25" customHeight="1" x14ac:dyDescent="0.2">
      <c r="A223" s="67">
        <v>44287</v>
      </c>
      <c r="B223" s="57">
        <v>0</v>
      </c>
      <c r="C223" s="57">
        <v>0</v>
      </c>
      <c r="D223" s="57">
        <v>379705.42421999999</v>
      </c>
      <c r="E223" s="57">
        <v>473522.1173980867</v>
      </c>
      <c r="F223" s="57">
        <v>92988.048689999981</v>
      </c>
      <c r="G223" s="57">
        <v>100270.87398978804</v>
      </c>
      <c r="H223" s="58">
        <v>0.24707756906767186</v>
      </c>
      <c r="I223" s="58">
        <v>7.8320014264061655E-2</v>
      </c>
      <c r="J223" s="58">
        <v>0.2138796583237863</v>
      </c>
    </row>
    <row r="224" spans="1:10" ht="11.25" customHeight="1" x14ac:dyDescent="0.2">
      <c r="A224" s="67">
        <v>44317</v>
      </c>
      <c r="B224" s="57">
        <v>0</v>
      </c>
      <c r="C224" s="57">
        <v>0</v>
      </c>
      <c r="D224" s="57">
        <v>353892.70757999999</v>
      </c>
      <c r="E224" s="57">
        <v>441331.65747964283</v>
      </c>
      <c r="F224" s="57">
        <v>86666.637409999996</v>
      </c>
      <c r="G224" s="57">
        <v>93454.369688169449</v>
      </c>
      <c r="H224" s="58">
        <v>0.24707756906767186</v>
      </c>
      <c r="I224" s="58">
        <v>7.8320014264061655E-2</v>
      </c>
      <c r="J224" s="58">
        <v>0.21387965832378608</v>
      </c>
    </row>
    <row r="225" spans="1:10" ht="11.25" customHeight="1" x14ac:dyDescent="0.2">
      <c r="A225" s="67">
        <v>44348</v>
      </c>
      <c r="B225" s="57">
        <v>0</v>
      </c>
      <c r="C225" s="57">
        <v>0</v>
      </c>
      <c r="D225" s="57">
        <v>372191.26793999999</v>
      </c>
      <c r="E225" s="57">
        <v>464151.38165082975</v>
      </c>
      <c r="F225" s="57">
        <v>91147.867629999993</v>
      </c>
      <c r="G225" s="57">
        <v>98286.569922920404</v>
      </c>
      <c r="H225" s="58">
        <v>0.24707756906767209</v>
      </c>
      <c r="I225" s="58">
        <v>7.8320014264061655E-2</v>
      </c>
      <c r="J225" s="58">
        <v>0.2138796583237863</v>
      </c>
    </row>
    <row r="226" spans="1:10" ht="11.25" customHeight="1" x14ac:dyDescent="0.2">
      <c r="A226" s="67">
        <v>44378</v>
      </c>
      <c r="B226" s="57">
        <v>0</v>
      </c>
      <c r="C226" s="57">
        <v>0</v>
      </c>
      <c r="D226" s="57">
        <v>346516.11588</v>
      </c>
      <c r="E226" s="57">
        <v>432132.47543440212</v>
      </c>
      <c r="F226" s="57">
        <v>84860.14525999999</v>
      </c>
      <c r="G226" s="57">
        <v>91506.39304721354</v>
      </c>
      <c r="H226" s="58">
        <v>0.24707756906767186</v>
      </c>
      <c r="I226" s="58">
        <v>7.8320014264061655E-2</v>
      </c>
      <c r="J226" s="58">
        <v>0.21387965832378653</v>
      </c>
    </row>
    <row r="227" spans="1:10" ht="11.25" customHeight="1" x14ac:dyDescent="0.2">
      <c r="A227" s="67">
        <v>44409</v>
      </c>
      <c r="B227" s="57">
        <v>0</v>
      </c>
      <c r="C227" s="57">
        <v>0</v>
      </c>
      <c r="D227" s="57">
        <v>382511.08266000001</v>
      </c>
      <c r="E227" s="57">
        <v>477020.9911050761</v>
      </c>
      <c r="F227" s="57">
        <v>93675.141069999998</v>
      </c>
      <c r="G227" s="57">
        <v>101011.77945479039</v>
      </c>
      <c r="H227" s="58">
        <v>0.24707756906767186</v>
      </c>
      <c r="I227" s="58">
        <v>7.8320014264061655E-2</v>
      </c>
      <c r="J227" s="58">
        <v>0.2138796583237863</v>
      </c>
    </row>
    <row r="228" spans="1:10" ht="11.25" customHeight="1" x14ac:dyDescent="0.2">
      <c r="A228" s="67">
        <v>44440</v>
      </c>
      <c r="B228" s="57">
        <v>0</v>
      </c>
      <c r="C228" s="57">
        <v>0</v>
      </c>
      <c r="D228" s="57">
        <v>415385.72232</v>
      </c>
      <c r="E228" s="57">
        <v>518018.21681624453</v>
      </c>
      <c r="F228" s="57">
        <v>101725.98363999999</v>
      </c>
      <c r="G228" s="57">
        <v>109693.16412971049</v>
      </c>
      <c r="H228" s="58">
        <v>0.24707756906767186</v>
      </c>
      <c r="I228" s="58">
        <v>7.8320014264061655E-2</v>
      </c>
      <c r="J228" s="58">
        <v>0.2138796583237863</v>
      </c>
    </row>
    <row r="229" spans="1:10" ht="11.25" customHeight="1" x14ac:dyDescent="0.2">
      <c r="A229" s="67">
        <v>44470</v>
      </c>
      <c r="B229" s="57">
        <v>0</v>
      </c>
      <c r="C229" s="57">
        <v>0</v>
      </c>
      <c r="D229" s="57">
        <v>419380.03758</v>
      </c>
      <c r="E229" s="57">
        <v>522999.4377807753</v>
      </c>
      <c r="F229" s="57">
        <v>102704.17241</v>
      </c>
      <c r="G229" s="57">
        <v>110747.96465812984</v>
      </c>
      <c r="H229" s="58">
        <v>0.24707756906767186</v>
      </c>
      <c r="I229" s="58">
        <v>7.8320014264061655E-2</v>
      </c>
      <c r="J229" s="58">
        <v>0.2138796583237863</v>
      </c>
    </row>
    <row r="230" spans="1:10" ht="11.25" customHeight="1" x14ac:dyDescent="0.2">
      <c r="A230" s="67">
        <v>44501</v>
      </c>
      <c r="B230" s="57">
        <v>0</v>
      </c>
      <c r="C230" s="57">
        <v>0</v>
      </c>
      <c r="D230" s="57">
        <v>455116.35</v>
      </c>
      <c r="E230" s="57">
        <v>567565.39140095166</v>
      </c>
      <c r="F230" s="57">
        <v>111455.825</v>
      </c>
      <c r="G230" s="57">
        <v>120185.04680381276</v>
      </c>
      <c r="H230" s="58">
        <v>0.24707756906767186</v>
      </c>
      <c r="I230" s="58">
        <v>7.8320014264061655E-2</v>
      </c>
      <c r="J230" s="58">
        <v>0.2138796583237863</v>
      </c>
    </row>
    <row r="231" spans="1:10" ht="11.25" customHeight="1" x14ac:dyDescent="0.2">
      <c r="A231" s="67">
        <v>44531</v>
      </c>
      <c r="B231" s="57">
        <v>0</v>
      </c>
      <c r="C231" s="57">
        <v>0</v>
      </c>
      <c r="D231" s="57">
        <v>494262.94602000003</v>
      </c>
      <c r="E231" s="57">
        <v>616384.23320284754</v>
      </c>
      <c r="F231" s="57">
        <v>121042.63979</v>
      </c>
      <c r="G231" s="57">
        <v>130522.70106491249</v>
      </c>
      <c r="H231" s="58">
        <v>0.24707756906767186</v>
      </c>
      <c r="I231" s="58">
        <v>7.8320014264061655E-2</v>
      </c>
      <c r="J231" s="58">
        <v>0.2138796583237863</v>
      </c>
    </row>
    <row r="232" spans="1:10" ht="11.25" customHeight="1" x14ac:dyDescent="0.2">
      <c r="A232" s="67">
        <v>44562</v>
      </c>
      <c r="B232" s="57">
        <v>0</v>
      </c>
      <c r="C232" s="57">
        <v>0</v>
      </c>
      <c r="D232" s="57">
        <v>500814.15023999993</v>
      </c>
      <c r="E232" s="57">
        <v>624554.09303599084</v>
      </c>
      <c r="F232" s="57">
        <v>122646.99847999998</v>
      </c>
      <c r="G232" s="57">
        <v>132252.71315039793</v>
      </c>
      <c r="H232" s="58">
        <v>0.24707756906767164</v>
      </c>
      <c r="I232" s="58">
        <v>7.8320014264061655E-2</v>
      </c>
      <c r="J232" s="58">
        <v>0.21387965832378608</v>
      </c>
    </row>
    <row r="233" spans="1:10" ht="11.25" customHeight="1" x14ac:dyDescent="0.2">
      <c r="A233" s="67">
        <v>44593</v>
      </c>
      <c r="B233" s="57">
        <v>0</v>
      </c>
      <c r="C233" s="57">
        <v>0</v>
      </c>
      <c r="D233" s="57">
        <v>459209.51406000002</v>
      </c>
      <c r="E233" s="57">
        <v>572669.88448669168</v>
      </c>
      <c r="F233" s="57">
        <v>112458.22137</v>
      </c>
      <c r="G233" s="57">
        <v>121265.9508718094</v>
      </c>
      <c r="H233" s="58">
        <v>0.24707756906767186</v>
      </c>
      <c r="I233" s="58">
        <v>7.8320014264061655E-2</v>
      </c>
      <c r="J233" s="58">
        <v>0.2138796583237863</v>
      </c>
    </row>
    <row r="234" spans="1:10" ht="11.25" customHeight="1" x14ac:dyDescent="0.2">
      <c r="A234" s="67">
        <v>44621</v>
      </c>
      <c r="B234" s="57">
        <v>0</v>
      </c>
      <c r="C234" s="57">
        <v>0</v>
      </c>
      <c r="D234" s="57">
        <v>481968.62651999999</v>
      </c>
      <c r="E234" s="57">
        <v>601052.26312744617</v>
      </c>
      <c r="F234" s="57">
        <v>118031.81954</v>
      </c>
      <c r="G234" s="57">
        <v>127276.07332998594</v>
      </c>
      <c r="H234" s="58">
        <v>0.24707756906767164</v>
      </c>
      <c r="I234" s="58">
        <v>7.8320014264061655E-2</v>
      </c>
      <c r="J234" s="58">
        <v>0.2138796583237863</v>
      </c>
    </row>
    <row r="235" spans="1:10" ht="11.25" customHeight="1" x14ac:dyDescent="0.2">
      <c r="A235" s="62" t="s">
        <v>48</v>
      </c>
      <c r="B235" s="57">
        <v>0</v>
      </c>
      <c r="C235" s="57">
        <v>0</v>
      </c>
      <c r="D235" s="57">
        <v>20059.716479999999</v>
      </c>
      <c r="E235" s="57">
        <v>25016.022464065114</v>
      </c>
      <c r="F235" s="57">
        <v>4912.5289599999996</v>
      </c>
      <c r="G235" s="57">
        <v>5297.278298219815</v>
      </c>
      <c r="H235" s="58">
        <v>0.24707756906767186</v>
      </c>
      <c r="I235" s="58">
        <v>7.8320014264061655E-2</v>
      </c>
      <c r="J235" s="58">
        <v>0.2138796583237863</v>
      </c>
    </row>
    <row r="236" spans="1:10" ht="11.25" customHeight="1" x14ac:dyDescent="0.2">
      <c r="A236" s="63" t="s">
        <v>25</v>
      </c>
      <c r="B236" s="57">
        <v>0</v>
      </c>
      <c r="C236" s="57">
        <v>0</v>
      </c>
      <c r="D236" s="57">
        <v>20059.716479999999</v>
      </c>
      <c r="E236" s="57">
        <v>25016.022464065114</v>
      </c>
      <c r="F236" s="57">
        <v>4912.5289599999996</v>
      </c>
      <c r="G236" s="57">
        <v>5297.278298219815</v>
      </c>
      <c r="H236" s="58">
        <v>0.24707756906767186</v>
      </c>
      <c r="I236" s="58">
        <v>7.8320014264061655E-2</v>
      </c>
      <c r="J236" s="58">
        <v>0.2138796583237863</v>
      </c>
    </row>
    <row r="237" spans="1:10" ht="11.25" customHeight="1" x14ac:dyDescent="0.2">
      <c r="A237" s="64" t="s">
        <v>25</v>
      </c>
      <c r="B237" s="57">
        <v>0</v>
      </c>
      <c r="C237" s="57">
        <v>0</v>
      </c>
      <c r="D237" s="57">
        <v>20059.716479999999</v>
      </c>
      <c r="E237" s="57">
        <v>25016.022464065114</v>
      </c>
      <c r="F237" s="57">
        <v>4912.5289599999996</v>
      </c>
      <c r="G237" s="57">
        <v>5297.278298219815</v>
      </c>
      <c r="H237" s="58">
        <v>0.24707756906767186</v>
      </c>
      <c r="I237" s="58">
        <v>7.8320014264061655E-2</v>
      </c>
      <c r="J237" s="58">
        <v>0.2138796583237863</v>
      </c>
    </row>
    <row r="238" spans="1:10" ht="11.25" customHeight="1" x14ac:dyDescent="0.2">
      <c r="A238" s="65" t="s">
        <v>25</v>
      </c>
      <c r="B238" s="57">
        <v>0</v>
      </c>
      <c r="C238" s="57">
        <v>0</v>
      </c>
      <c r="D238" s="57">
        <v>20059.716479999999</v>
      </c>
      <c r="E238" s="57">
        <v>25016.022464065114</v>
      </c>
      <c r="F238" s="57">
        <v>4912.5289599999996</v>
      </c>
      <c r="G238" s="57">
        <v>5297.278298219815</v>
      </c>
      <c r="H238" s="58">
        <v>0.24707756906767186</v>
      </c>
      <c r="I238" s="58">
        <v>7.8320014264061655E-2</v>
      </c>
      <c r="J238" s="58">
        <v>0.2138796583237863</v>
      </c>
    </row>
    <row r="239" spans="1:10" ht="11.25" customHeight="1" x14ac:dyDescent="0.2">
      <c r="A239" s="66" t="s">
        <v>25</v>
      </c>
      <c r="B239" s="57">
        <v>0</v>
      </c>
      <c r="C239" s="57">
        <v>0</v>
      </c>
      <c r="D239" s="57">
        <v>20059.716479999999</v>
      </c>
      <c r="E239" s="57">
        <v>25016.022464065114</v>
      </c>
      <c r="F239" s="57">
        <v>4912.5289599999996</v>
      </c>
      <c r="G239" s="57">
        <v>5297.278298219815</v>
      </c>
      <c r="H239" s="58">
        <v>0.24707756906767186</v>
      </c>
      <c r="I239" s="58">
        <v>7.8320014264061655E-2</v>
      </c>
      <c r="J239" s="58">
        <v>0.2138796583237863</v>
      </c>
    </row>
    <row r="240" spans="1:10" ht="11.25" customHeight="1" x14ac:dyDescent="0.2">
      <c r="A240" s="67">
        <v>44287</v>
      </c>
      <c r="B240" s="57">
        <v>0</v>
      </c>
      <c r="C240" s="57">
        <v>0</v>
      </c>
      <c r="D240" s="57">
        <v>1897.07322</v>
      </c>
      <c r="E240" s="57">
        <v>2365.7974595409805</v>
      </c>
      <c r="F240" s="57">
        <v>464.58418999999998</v>
      </c>
      <c r="G240" s="57">
        <v>500.97043038765747</v>
      </c>
      <c r="H240" s="58">
        <v>0.24707756906767186</v>
      </c>
      <c r="I240" s="58">
        <v>7.8320014264061655E-2</v>
      </c>
      <c r="J240" s="58">
        <v>0.2138796583237863</v>
      </c>
    </row>
    <row r="241" spans="1:10" ht="11.25" customHeight="1" x14ac:dyDescent="0.2">
      <c r="A241" s="67">
        <v>44317</v>
      </c>
      <c r="B241" s="57">
        <v>0</v>
      </c>
      <c r="C241" s="57">
        <v>0</v>
      </c>
      <c r="D241" s="57">
        <v>1159.82592</v>
      </c>
      <c r="E241" s="57">
        <v>1446.3928888552759</v>
      </c>
      <c r="F241" s="57">
        <v>284.03583999999995</v>
      </c>
      <c r="G241" s="57">
        <v>306.28153104030469</v>
      </c>
      <c r="H241" s="58">
        <v>0.24707756906767186</v>
      </c>
      <c r="I241" s="58">
        <v>7.8320014264061655E-2</v>
      </c>
      <c r="J241" s="58">
        <v>0.2138796583237863</v>
      </c>
    </row>
    <row r="242" spans="1:10" ht="11.25" customHeight="1" x14ac:dyDescent="0.2">
      <c r="A242" s="67">
        <v>44348</v>
      </c>
      <c r="B242" s="57">
        <v>0</v>
      </c>
      <c r="C242" s="57">
        <v>0</v>
      </c>
      <c r="D242" s="57">
        <v>953.89091999999994</v>
      </c>
      <c r="E242" s="57">
        <v>1189.5759696693249</v>
      </c>
      <c r="F242" s="57">
        <v>233.60333999999997</v>
      </c>
      <c r="G242" s="57">
        <v>251.89915692093243</v>
      </c>
      <c r="H242" s="58">
        <v>0.24707756906767186</v>
      </c>
      <c r="I242" s="58">
        <v>7.8320014264061655E-2</v>
      </c>
      <c r="J242" s="58">
        <v>0.2138796583237863</v>
      </c>
    </row>
    <row r="243" spans="1:10" ht="11.25" customHeight="1" x14ac:dyDescent="0.2">
      <c r="A243" s="67">
        <v>44378</v>
      </c>
      <c r="B243" s="57">
        <v>0</v>
      </c>
      <c r="C243" s="57">
        <v>0</v>
      </c>
      <c r="D243" s="57">
        <v>826.21121999999991</v>
      </c>
      <c r="E243" s="57">
        <v>1030.3494797740354</v>
      </c>
      <c r="F243" s="57">
        <v>202.33518999999995</v>
      </c>
      <c r="G243" s="57">
        <v>218.18208496692159</v>
      </c>
      <c r="H243" s="58">
        <v>0.24707756906767209</v>
      </c>
      <c r="I243" s="58">
        <v>7.8320014264061655E-2</v>
      </c>
      <c r="J243" s="58">
        <v>0.2138796583237863</v>
      </c>
    </row>
    <row r="244" spans="1:10" ht="11.25" customHeight="1" x14ac:dyDescent="0.2">
      <c r="A244" s="67">
        <v>44409</v>
      </c>
      <c r="B244" s="57">
        <v>0</v>
      </c>
      <c r="C244" s="57">
        <v>0</v>
      </c>
      <c r="D244" s="57">
        <v>913.52765999999997</v>
      </c>
      <c r="E244" s="57">
        <v>1139.2398535088787</v>
      </c>
      <c r="F244" s="57">
        <v>223.71857</v>
      </c>
      <c r="G244" s="57">
        <v>241.24021159353546</v>
      </c>
      <c r="H244" s="58">
        <v>0.24707756906767186</v>
      </c>
      <c r="I244" s="58">
        <v>7.8320014264061655E-2</v>
      </c>
      <c r="J244" s="58">
        <v>0.2138796583237863</v>
      </c>
    </row>
    <row r="245" spans="1:10" ht="11.25" customHeight="1" x14ac:dyDescent="0.2">
      <c r="A245" s="67">
        <v>44440</v>
      </c>
      <c r="B245" s="57">
        <v>0</v>
      </c>
      <c r="C245" s="57">
        <v>0</v>
      </c>
      <c r="D245" s="57">
        <v>1770.2172600000001</v>
      </c>
      <c r="E245" s="57">
        <v>2207.5982373224347</v>
      </c>
      <c r="F245" s="57">
        <v>433.51776999999998</v>
      </c>
      <c r="G245" s="57">
        <v>467.47088793012421</v>
      </c>
      <c r="H245" s="58">
        <v>0.24707756906767164</v>
      </c>
      <c r="I245" s="58">
        <v>7.8320014264061655E-2</v>
      </c>
      <c r="J245" s="58">
        <v>0.21387965832378608</v>
      </c>
    </row>
    <row r="246" spans="1:10" ht="11.25" customHeight="1" x14ac:dyDescent="0.2">
      <c r="A246" s="67">
        <v>44470</v>
      </c>
      <c r="B246" s="57">
        <v>0</v>
      </c>
      <c r="C246" s="57">
        <v>0</v>
      </c>
      <c r="D246" s="57">
        <v>1826.2315800000001</v>
      </c>
      <c r="E246" s="57">
        <v>2277.4524393410138</v>
      </c>
      <c r="F246" s="57">
        <v>447.23541</v>
      </c>
      <c r="G246" s="57">
        <v>482.26289369059344</v>
      </c>
      <c r="H246" s="58">
        <v>0.24707756906767186</v>
      </c>
      <c r="I246" s="58">
        <v>7.8320014264061655E-2</v>
      </c>
      <c r="J246" s="58">
        <v>0.21387965832378653</v>
      </c>
    </row>
    <row r="247" spans="1:10" ht="11.25" customHeight="1" x14ac:dyDescent="0.2">
      <c r="A247" s="67">
        <v>44501</v>
      </c>
      <c r="B247" s="57">
        <v>0</v>
      </c>
      <c r="C247" s="57">
        <v>0</v>
      </c>
      <c r="D247" s="57">
        <v>1687.8432599999999</v>
      </c>
      <c r="E247" s="57">
        <v>2104.8714696480542</v>
      </c>
      <c r="F247" s="57">
        <v>413.34476999999998</v>
      </c>
      <c r="G247" s="57">
        <v>445.71793828237526</v>
      </c>
      <c r="H247" s="58">
        <v>0.24707756906767186</v>
      </c>
      <c r="I247" s="58">
        <v>7.8320014264061655E-2</v>
      </c>
      <c r="J247" s="58">
        <v>0.2138796583237863</v>
      </c>
    </row>
    <row r="248" spans="1:10" ht="11.25" customHeight="1" x14ac:dyDescent="0.2">
      <c r="A248" s="67">
        <v>44531</v>
      </c>
      <c r="B248" s="57">
        <v>0</v>
      </c>
      <c r="C248" s="57">
        <v>0</v>
      </c>
      <c r="D248" s="57">
        <v>2021.4579600000002</v>
      </c>
      <c r="E248" s="57">
        <v>2520.9148787292952</v>
      </c>
      <c r="F248" s="57">
        <v>495.04542000000004</v>
      </c>
      <c r="G248" s="57">
        <v>533.81738435575835</v>
      </c>
      <c r="H248" s="58">
        <v>0.24707756906767186</v>
      </c>
      <c r="I248" s="58">
        <v>7.8320014264061433E-2</v>
      </c>
      <c r="J248" s="58">
        <v>0.2138796583237863</v>
      </c>
    </row>
    <row r="249" spans="1:10" ht="11.25" customHeight="1" x14ac:dyDescent="0.2">
      <c r="A249" s="67">
        <v>44562</v>
      </c>
      <c r="B249" s="57">
        <v>0</v>
      </c>
      <c r="C249" s="57">
        <v>0</v>
      </c>
      <c r="D249" s="57">
        <v>1588.9944600000001</v>
      </c>
      <c r="E249" s="57">
        <v>1981.599348438798</v>
      </c>
      <c r="F249" s="57">
        <v>389.13716999999997</v>
      </c>
      <c r="G249" s="57">
        <v>419.61439870507655</v>
      </c>
      <c r="H249" s="58">
        <v>0.24707756906767186</v>
      </c>
      <c r="I249" s="58">
        <v>7.8320014264061655E-2</v>
      </c>
      <c r="J249" s="58">
        <v>0.2138796583237863</v>
      </c>
    </row>
    <row r="250" spans="1:10" ht="11.25" customHeight="1" x14ac:dyDescent="0.2">
      <c r="A250" s="67">
        <v>44593</v>
      </c>
      <c r="B250" s="57">
        <v>0</v>
      </c>
      <c r="C250" s="57">
        <v>0</v>
      </c>
      <c r="D250" s="57">
        <v>2256.2238600000001</v>
      </c>
      <c r="E250" s="57">
        <v>2813.6861666012792</v>
      </c>
      <c r="F250" s="57">
        <v>552.53846999999996</v>
      </c>
      <c r="G250" s="57">
        <v>595.81329085184279</v>
      </c>
      <c r="H250" s="58">
        <v>0.24707756906767186</v>
      </c>
      <c r="I250" s="58">
        <v>7.8320014264061655E-2</v>
      </c>
      <c r="J250" s="58">
        <v>0.2138796583237863</v>
      </c>
    </row>
    <row r="251" spans="1:10" ht="11.25" customHeight="1" x14ac:dyDescent="0.2">
      <c r="A251" s="67">
        <v>44621</v>
      </c>
      <c r="B251" s="57">
        <v>0</v>
      </c>
      <c r="C251" s="57">
        <v>0</v>
      </c>
      <c r="D251" s="57">
        <v>3158.2191600000001</v>
      </c>
      <c r="E251" s="57">
        <v>3938.5442726357446</v>
      </c>
      <c r="F251" s="57">
        <v>773.43281999999999</v>
      </c>
      <c r="G251" s="57">
        <v>834.00808949469342</v>
      </c>
      <c r="H251" s="58">
        <v>0.24707756906767186</v>
      </c>
      <c r="I251" s="58">
        <v>7.8320014264061655E-2</v>
      </c>
      <c r="J251" s="58">
        <v>0.2138796583237863</v>
      </c>
    </row>
    <row r="252" spans="1:10" ht="11.25" customHeight="1" x14ac:dyDescent="0.2">
      <c r="A252" s="62" t="s">
        <v>34</v>
      </c>
      <c r="B252" s="57">
        <v>0</v>
      </c>
      <c r="C252" s="57">
        <v>0</v>
      </c>
      <c r="D252" s="57">
        <v>139066.25801999998</v>
      </c>
      <c r="E252" s="57">
        <v>173426.41099091925</v>
      </c>
      <c r="F252" s="57">
        <v>34056.663789999999</v>
      </c>
      <c r="G252" s="57">
        <v>36723.982183819149</v>
      </c>
      <c r="H252" s="58">
        <v>0.2470775690676712</v>
      </c>
      <c r="I252" s="58">
        <v>7.8320014264061655E-2</v>
      </c>
      <c r="J252" s="58">
        <v>0.21387965832378586</v>
      </c>
    </row>
    <row r="253" spans="1:10" ht="11.25" customHeight="1" x14ac:dyDescent="0.2">
      <c r="A253" s="63" t="s">
        <v>25</v>
      </c>
      <c r="B253" s="57">
        <v>0</v>
      </c>
      <c r="C253" s="57">
        <v>0</v>
      </c>
      <c r="D253" s="57">
        <v>139066.25801999998</v>
      </c>
      <c r="E253" s="57">
        <v>173426.41099091925</v>
      </c>
      <c r="F253" s="57">
        <v>34056.663789999999</v>
      </c>
      <c r="G253" s="57">
        <v>36723.982183819149</v>
      </c>
      <c r="H253" s="58">
        <v>0.2470775690676712</v>
      </c>
      <c r="I253" s="58">
        <v>7.8320014264061655E-2</v>
      </c>
      <c r="J253" s="58">
        <v>0.21387965832378586</v>
      </c>
    </row>
    <row r="254" spans="1:10" ht="11.25" customHeight="1" x14ac:dyDescent="0.2">
      <c r="A254" s="64" t="s">
        <v>25</v>
      </c>
      <c r="B254" s="57">
        <v>0</v>
      </c>
      <c r="C254" s="57">
        <v>0</v>
      </c>
      <c r="D254" s="57">
        <v>139066.25801999998</v>
      </c>
      <c r="E254" s="57">
        <v>173426.41099091925</v>
      </c>
      <c r="F254" s="57">
        <v>34056.663789999999</v>
      </c>
      <c r="G254" s="57">
        <v>36723.982183819149</v>
      </c>
      <c r="H254" s="58">
        <v>0.2470775690676712</v>
      </c>
      <c r="I254" s="58">
        <v>7.8320014264061655E-2</v>
      </c>
      <c r="J254" s="58">
        <v>0.21387965832378586</v>
      </c>
    </row>
    <row r="255" spans="1:10" ht="11.25" customHeight="1" x14ac:dyDescent="0.2">
      <c r="A255" s="65" t="s">
        <v>25</v>
      </c>
      <c r="B255" s="57">
        <v>0</v>
      </c>
      <c r="C255" s="57">
        <v>0</v>
      </c>
      <c r="D255" s="57">
        <v>139066.25801999998</v>
      </c>
      <c r="E255" s="57">
        <v>173426.41099091925</v>
      </c>
      <c r="F255" s="57">
        <v>34056.663789999999</v>
      </c>
      <c r="G255" s="57">
        <v>36723.982183819149</v>
      </c>
      <c r="H255" s="58">
        <v>0.2470775690676712</v>
      </c>
      <c r="I255" s="58">
        <v>7.8320014264061655E-2</v>
      </c>
      <c r="J255" s="58">
        <v>0.21387965832378586</v>
      </c>
    </row>
    <row r="256" spans="1:10" ht="11.25" customHeight="1" x14ac:dyDescent="0.2">
      <c r="A256" s="66" t="s">
        <v>25</v>
      </c>
      <c r="B256" s="57">
        <v>0</v>
      </c>
      <c r="C256" s="57">
        <v>0</v>
      </c>
      <c r="D256" s="57">
        <v>139066.25801999998</v>
      </c>
      <c r="E256" s="57">
        <v>173426.41099091925</v>
      </c>
      <c r="F256" s="57">
        <v>34056.663789999999</v>
      </c>
      <c r="G256" s="57">
        <v>36723.982183819149</v>
      </c>
      <c r="H256" s="58">
        <v>0.2470775690676712</v>
      </c>
      <c r="I256" s="58">
        <v>7.8320014264061655E-2</v>
      </c>
      <c r="J256" s="58">
        <v>0.21387965832378586</v>
      </c>
    </row>
    <row r="257" spans="1:10" ht="11.25" customHeight="1" x14ac:dyDescent="0.2">
      <c r="A257" s="67">
        <v>44287</v>
      </c>
      <c r="B257" s="57">
        <v>0</v>
      </c>
      <c r="C257" s="57">
        <v>0</v>
      </c>
      <c r="D257" s="57">
        <v>12252.30876</v>
      </c>
      <c r="E257" s="57">
        <v>15279.57942388734</v>
      </c>
      <c r="F257" s="57">
        <v>3000.5320199999996</v>
      </c>
      <c r="G257" s="57">
        <v>3235.5337306061733</v>
      </c>
      <c r="H257" s="58">
        <v>0.24707756906767186</v>
      </c>
      <c r="I257" s="58">
        <v>7.8320014264061655E-2</v>
      </c>
      <c r="J257" s="58">
        <v>0.2138796583237863</v>
      </c>
    </row>
    <row r="258" spans="1:10" ht="11.25" customHeight="1" x14ac:dyDescent="0.2">
      <c r="A258" s="67">
        <v>44317</v>
      </c>
      <c r="B258" s="57">
        <v>0</v>
      </c>
      <c r="C258" s="57">
        <v>0</v>
      </c>
      <c r="D258" s="57">
        <v>12349.51008</v>
      </c>
      <c r="E258" s="57">
        <v>15400.79700974311</v>
      </c>
      <c r="F258" s="57">
        <v>3024.3361600000003</v>
      </c>
      <c r="G258" s="57">
        <v>3261.2022111905176</v>
      </c>
      <c r="H258" s="58">
        <v>0.24707756906767186</v>
      </c>
      <c r="I258" s="58">
        <v>7.8320014264061655E-2</v>
      </c>
      <c r="J258" s="58">
        <v>0.2138796583237863</v>
      </c>
    </row>
    <row r="259" spans="1:10" ht="11.25" customHeight="1" x14ac:dyDescent="0.2">
      <c r="A259" s="67">
        <v>44348</v>
      </c>
      <c r="B259" s="57">
        <v>0</v>
      </c>
      <c r="C259" s="57">
        <v>0</v>
      </c>
      <c r="D259" s="57">
        <v>11076.008040000001</v>
      </c>
      <c r="E259" s="57">
        <v>13812.641181497189</v>
      </c>
      <c r="F259" s="57">
        <v>2712.4615799999997</v>
      </c>
      <c r="G259" s="57">
        <v>2924.9016096363189</v>
      </c>
      <c r="H259" s="58">
        <v>0.24707756906767186</v>
      </c>
      <c r="I259" s="58">
        <v>7.8320014264061655E-2</v>
      </c>
      <c r="J259" s="58">
        <v>0.2138796583237863</v>
      </c>
    </row>
    <row r="260" spans="1:10" ht="11.25" customHeight="1" x14ac:dyDescent="0.2">
      <c r="A260" s="67">
        <v>44378</v>
      </c>
      <c r="B260" s="57">
        <v>0</v>
      </c>
      <c r="C260" s="57">
        <v>0</v>
      </c>
      <c r="D260" s="57">
        <v>9108.0931799999998</v>
      </c>
      <c r="E260" s="57">
        <v>11358.498701756242</v>
      </c>
      <c r="F260" s="57">
        <v>2230.5286099999998</v>
      </c>
      <c r="G260" s="57">
        <v>2405.2236425515975</v>
      </c>
      <c r="H260" s="58">
        <v>0.24707756906767186</v>
      </c>
      <c r="I260" s="58">
        <v>7.8320014264061655E-2</v>
      </c>
      <c r="J260" s="58">
        <v>0.21387965832378653</v>
      </c>
    </row>
    <row r="261" spans="1:10" ht="11.25" customHeight="1" x14ac:dyDescent="0.2">
      <c r="A261" s="67">
        <v>44409</v>
      </c>
      <c r="B261" s="57">
        <v>0</v>
      </c>
      <c r="C261" s="57">
        <v>0</v>
      </c>
      <c r="D261" s="57">
        <v>9313.2044400000013</v>
      </c>
      <c r="E261" s="57">
        <v>11614.288353265449</v>
      </c>
      <c r="F261" s="57">
        <v>2280.75938</v>
      </c>
      <c r="G261" s="57">
        <v>2459.3884871744922</v>
      </c>
      <c r="H261" s="58">
        <v>0.24707756906767164</v>
      </c>
      <c r="I261" s="58">
        <v>7.8320014264061655E-2</v>
      </c>
      <c r="J261" s="58">
        <v>0.2138796583237863</v>
      </c>
    </row>
    <row r="262" spans="1:10" ht="11.25" customHeight="1" x14ac:dyDescent="0.2">
      <c r="A262" s="67">
        <v>44440</v>
      </c>
      <c r="B262" s="57">
        <v>0</v>
      </c>
      <c r="C262" s="57">
        <v>0</v>
      </c>
      <c r="D262" s="57">
        <v>10992.810299999999</v>
      </c>
      <c r="E262" s="57">
        <v>13708.887146146064</v>
      </c>
      <c r="F262" s="57">
        <v>2692.0868500000001</v>
      </c>
      <c r="G262" s="57">
        <v>2902.9311304920925</v>
      </c>
      <c r="H262" s="58">
        <v>0.24707756906767186</v>
      </c>
      <c r="I262" s="58">
        <v>7.8320014264061433E-2</v>
      </c>
      <c r="J262" s="58">
        <v>0.21387965832378653</v>
      </c>
    </row>
    <row r="263" spans="1:10" ht="11.25" customHeight="1" x14ac:dyDescent="0.2">
      <c r="A263" s="67">
        <v>44470</v>
      </c>
      <c r="B263" s="57">
        <v>0</v>
      </c>
      <c r="C263" s="57">
        <v>0</v>
      </c>
      <c r="D263" s="57">
        <v>11532.36</v>
      </c>
      <c r="E263" s="57">
        <v>14381.747474413256</v>
      </c>
      <c r="F263" s="57">
        <v>2824.22</v>
      </c>
      <c r="G263" s="57">
        <v>3045.4129506848481</v>
      </c>
      <c r="H263" s="58">
        <v>0.24707756906767186</v>
      </c>
      <c r="I263" s="58">
        <v>7.8320014264061655E-2</v>
      </c>
      <c r="J263" s="58">
        <v>0.2138796583237863</v>
      </c>
    </row>
    <row r="264" spans="1:10" ht="11.25" customHeight="1" x14ac:dyDescent="0.2">
      <c r="A264" s="67">
        <v>44501</v>
      </c>
      <c r="B264" s="57">
        <v>0</v>
      </c>
      <c r="C264" s="57">
        <v>0</v>
      </c>
      <c r="D264" s="57">
        <v>12058.729859999999</v>
      </c>
      <c r="E264" s="57">
        <v>15038.171519852545</v>
      </c>
      <c r="F264" s="57">
        <v>2953.12547</v>
      </c>
      <c r="G264" s="57">
        <v>3184.4142989339634</v>
      </c>
      <c r="H264" s="58">
        <v>0.24707756906767186</v>
      </c>
      <c r="I264" s="58">
        <v>7.8320014264061655E-2</v>
      </c>
      <c r="J264" s="58">
        <v>0.2138796583237863</v>
      </c>
    </row>
    <row r="265" spans="1:10" ht="11.25" customHeight="1" x14ac:dyDescent="0.2">
      <c r="A265" s="67">
        <v>44531</v>
      </c>
      <c r="B265" s="57">
        <v>0</v>
      </c>
      <c r="C265" s="57">
        <v>0</v>
      </c>
      <c r="D265" s="57">
        <v>11815.726559999999</v>
      </c>
      <c r="E265" s="57">
        <v>14735.127555213125</v>
      </c>
      <c r="F265" s="57">
        <v>2893.6151199999995</v>
      </c>
      <c r="G265" s="57">
        <v>3120.2430974731042</v>
      </c>
      <c r="H265" s="58">
        <v>0.24707756906767186</v>
      </c>
      <c r="I265" s="58">
        <v>7.8320014264061655E-2</v>
      </c>
      <c r="J265" s="58">
        <v>0.21387965832378653</v>
      </c>
    </row>
    <row r="266" spans="1:10" ht="11.25" customHeight="1" x14ac:dyDescent="0.2">
      <c r="A266" s="67">
        <v>44562</v>
      </c>
      <c r="B266" s="57">
        <v>0</v>
      </c>
      <c r="C266" s="57">
        <v>0</v>
      </c>
      <c r="D266" s="57">
        <v>13291.044900000001</v>
      </c>
      <c r="E266" s="57">
        <v>16574.963964261278</v>
      </c>
      <c r="F266" s="57">
        <v>3254.9135499999998</v>
      </c>
      <c r="G266" s="57">
        <v>3509.8384256642876</v>
      </c>
      <c r="H266" s="58">
        <v>0.24707756906767186</v>
      </c>
      <c r="I266" s="58">
        <v>7.8320014264061655E-2</v>
      </c>
      <c r="J266" s="58">
        <v>0.21387965832378608</v>
      </c>
    </row>
    <row r="267" spans="1:10" ht="11.25" customHeight="1" x14ac:dyDescent="0.2">
      <c r="A267" s="67">
        <v>44593</v>
      </c>
      <c r="B267" s="57">
        <v>0</v>
      </c>
      <c r="C267" s="57">
        <v>0</v>
      </c>
      <c r="D267" s="57">
        <v>13633.720740000001</v>
      </c>
      <c r="E267" s="57">
        <v>17002.307317786701</v>
      </c>
      <c r="F267" s="57">
        <v>3338.8332300000002</v>
      </c>
      <c r="G267" s="57">
        <v>3600.3306961989229</v>
      </c>
      <c r="H267" s="58">
        <v>0.24707756906767186</v>
      </c>
      <c r="I267" s="58">
        <v>7.8320014264061433E-2</v>
      </c>
      <c r="J267" s="58">
        <v>0.2138796583237863</v>
      </c>
    </row>
    <row r="268" spans="1:10" ht="11.25" customHeight="1" x14ac:dyDescent="0.2">
      <c r="A268" s="67">
        <v>44621</v>
      </c>
      <c r="B268" s="57">
        <v>0</v>
      </c>
      <c r="C268" s="57">
        <v>0</v>
      </c>
      <c r="D268" s="57">
        <v>11642.741160000001</v>
      </c>
      <c r="E268" s="57">
        <v>14519.401343096926</v>
      </c>
      <c r="F268" s="57">
        <v>2851.2518200000004</v>
      </c>
      <c r="G268" s="57">
        <v>3074.561903212832</v>
      </c>
      <c r="H268" s="58">
        <v>0.24707756906767164</v>
      </c>
      <c r="I268" s="58">
        <v>7.8320014264061655E-2</v>
      </c>
      <c r="J268" s="58">
        <v>0.21387965832378608</v>
      </c>
    </row>
    <row r="269" spans="1:10" ht="11.25" customHeight="1" x14ac:dyDescent="0.2">
      <c r="A269" s="62" t="s">
        <v>42</v>
      </c>
      <c r="B269" s="57">
        <v>0</v>
      </c>
      <c r="C269" s="57">
        <v>0</v>
      </c>
      <c r="D269" s="57">
        <v>75331.846740000008</v>
      </c>
      <c r="E269" s="57">
        <v>93944.656305897617</v>
      </c>
      <c r="F269" s="57">
        <v>18448.410229999998</v>
      </c>
      <c r="G269" s="57">
        <v>19893.289982362861</v>
      </c>
      <c r="H269" s="58">
        <v>0.24707756906767164</v>
      </c>
      <c r="I269" s="58">
        <v>7.8320014264061877E-2</v>
      </c>
      <c r="J269" s="58">
        <v>0.2138796583237863</v>
      </c>
    </row>
    <row r="270" spans="1:10" ht="11.25" customHeight="1" x14ac:dyDescent="0.2">
      <c r="A270" s="63" t="s">
        <v>25</v>
      </c>
      <c r="B270" s="57">
        <v>0</v>
      </c>
      <c r="C270" s="57">
        <v>0</v>
      </c>
      <c r="D270" s="57">
        <v>75331.846740000008</v>
      </c>
      <c r="E270" s="57">
        <v>93944.656305897617</v>
      </c>
      <c r="F270" s="57">
        <v>18448.410229999998</v>
      </c>
      <c r="G270" s="57">
        <v>19893.289982362861</v>
      </c>
      <c r="H270" s="58">
        <v>0.24707756906767164</v>
      </c>
      <c r="I270" s="58">
        <v>7.8320014264061877E-2</v>
      </c>
      <c r="J270" s="58">
        <v>0.2138796583237863</v>
      </c>
    </row>
    <row r="271" spans="1:10" ht="11.25" customHeight="1" x14ac:dyDescent="0.2">
      <c r="A271" s="64" t="s">
        <v>25</v>
      </c>
      <c r="B271" s="57">
        <v>0</v>
      </c>
      <c r="C271" s="57">
        <v>0</v>
      </c>
      <c r="D271" s="57">
        <v>75331.846740000008</v>
      </c>
      <c r="E271" s="57">
        <v>93944.656305897617</v>
      </c>
      <c r="F271" s="57">
        <v>18448.410229999998</v>
      </c>
      <c r="G271" s="57">
        <v>19893.289982362861</v>
      </c>
      <c r="H271" s="58">
        <v>0.24707756906767164</v>
      </c>
      <c r="I271" s="58">
        <v>7.8320014264061877E-2</v>
      </c>
      <c r="J271" s="58">
        <v>0.2138796583237863</v>
      </c>
    </row>
    <row r="272" spans="1:10" ht="11.25" customHeight="1" x14ac:dyDescent="0.2">
      <c r="A272" s="65" t="s">
        <v>25</v>
      </c>
      <c r="B272" s="57">
        <v>0</v>
      </c>
      <c r="C272" s="57">
        <v>0</v>
      </c>
      <c r="D272" s="57">
        <v>75331.846740000008</v>
      </c>
      <c r="E272" s="57">
        <v>93944.656305897617</v>
      </c>
      <c r="F272" s="57">
        <v>18448.410229999998</v>
      </c>
      <c r="G272" s="57">
        <v>19893.289982362861</v>
      </c>
      <c r="H272" s="58">
        <v>0.24707756906767164</v>
      </c>
      <c r="I272" s="58">
        <v>7.8320014264061877E-2</v>
      </c>
      <c r="J272" s="58">
        <v>0.2138796583237863</v>
      </c>
    </row>
    <row r="273" spans="1:10" ht="11.25" customHeight="1" x14ac:dyDescent="0.2">
      <c r="A273" s="66" t="s">
        <v>25</v>
      </c>
      <c r="B273" s="57">
        <v>0</v>
      </c>
      <c r="C273" s="57">
        <v>0</v>
      </c>
      <c r="D273" s="57">
        <v>75331.846740000008</v>
      </c>
      <c r="E273" s="57">
        <v>93944.656305897617</v>
      </c>
      <c r="F273" s="57">
        <v>18448.410229999998</v>
      </c>
      <c r="G273" s="57">
        <v>19893.289982362861</v>
      </c>
      <c r="H273" s="58">
        <v>0.24707756906767164</v>
      </c>
      <c r="I273" s="58">
        <v>7.8320014264061877E-2</v>
      </c>
      <c r="J273" s="58">
        <v>0.2138796583237863</v>
      </c>
    </row>
    <row r="274" spans="1:10" ht="11.25" customHeight="1" x14ac:dyDescent="0.2">
      <c r="A274" s="67">
        <v>44287</v>
      </c>
      <c r="B274" s="57">
        <v>0</v>
      </c>
      <c r="C274" s="57">
        <v>0</v>
      </c>
      <c r="D274" s="57">
        <v>5451.5113200000005</v>
      </c>
      <c r="E274" s="57">
        <v>6798.4574846904952</v>
      </c>
      <c r="F274" s="57">
        <v>1335.0491400000001</v>
      </c>
      <c r="G274" s="57">
        <v>1439.6102076880231</v>
      </c>
      <c r="H274" s="58">
        <v>0.24707756906767186</v>
      </c>
      <c r="I274" s="58">
        <v>7.8320014264061433E-2</v>
      </c>
      <c r="J274" s="58">
        <v>0.21387965832378608</v>
      </c>
    </row>
    <row r="275" spans="1:10" ht="11.25" customHeight="1" x14ac:dyDescent="0.2">
      <c r="A275" s="67">
        <v>44317</v>
      </c>
      <c r="B275" s="57">
        <v>0</v>
      </c>
      <c r="C275" s="57">
        <v>0</v>
      </c>
      <c r="D275" s="57">
        <v>4432.5449400000007</v>
      </c>
      <c r="E275" s="57">
        <v>5527.7273685584096</v>
      </c>
      <c r="F275" s="57">
        <v>1085.5091299999999</v>
      </c>
      <c r="G275" s="57">
        <v>1170.5262205453691</v>
      </c>
      <c r="H275" s="58">
        <v>0.24707756906767164</v>
      </c>
      <c r="I275" s="58">
        <v>7.8320014264061655E-2</v>
      </c>
      <c r="J275" s="58">
        <v>0.2138796583237863</v>
      </c>
    </row>
    <row r="276" spans="1:10" ht="11.25" customHeight="1" x14ac:dyDescent="0.2">
      <c r="A276" s="67">
        <v>44348</v>
      </c>
      <c r="B276" s="57">
        <v>0</v>
      </c>
      <c r="C276" s="57">
        <v>0</v>
      </c>
      <c r="D276" s="57">
        <v>4093.1640600000005</v>
      </c>
      <c r="E276" s="57">
        <v>5104.4930857399622</v>
      </c>
      <c r="F276" s="57">
        <v>1002.39637</v>
      </c>
      <c r="G276" s="57">
        <v>1080.9040679966436</v>
      </c>
      <c r="H276" s="58">
        <v>0.24707756906767164</v>
      </c>
      <c r="I276" s="58">
        <v>7.8320014264061433E-2</v>
      </c>
      <c r="J276" s="58">
        <v>0.2138796583237863</v>
      </c>
    </row>
    <row r="277" spans="1:10" ht="11.25" customHeight="1" x14ac:dyDescent="0.2">
      <c r="A277" s="67">
        <v>44378</v>
      </c>
      <c r="B277" s="57">
        <v>0</v>
      </c>
      <c r="C277" s="57">
        <v>0</v>
      </c>
      <c r="D277" s="57">
        <v>3882.2866200000003</v>
      </c>
      <c r="E277" s="57">
        <v>4841.5125604935483</v>
      </c>
      <c r="F277" s="57">
        <v>950.75348999999994</v>
      </c>
      <c r="G277" s="57">
        <v>1025.2165168984063</v>
      </c>
      <c r="H277" s="58">
        <v>0.24707756906767186</v>
      </c>
      <c r="I277" s="58">
        <v>7.8320014264061655E-2</v>
      </c>
      <c r="J277" s="58">
        <v>0.2138796583237863</v>
      </c>
    </row>
    <row r="278" spans="1:10" ht="11.25" customHeight="1" x14ac:dyDescent="0.2">
      <c r="A278" s="67">
        <v>44409</v>
      </c>
      <c r="B278" s="57">
        <v>0</v>
      </c>
      <c r="C278" s="57">
        <v>0</v>
      </c>
      <c r="D278" s="57">
        <v>4547.8685400000004</v>
      </c>
      <c r="E278" s="57">
        <v>5671.5448433025422</v>
      </c>
      <c r="F278" s="57">
        <v>1113.7513299999998</v>
      </c>
      <c r="G278" s="57">
        <v>1200.9803500522175</v>
      </c>
      <c r="H278" s="58">
        <v>0.24707756906767186</v>
      </c>
      <c r="I278" s="58">
        <v>7.8320014264061655E-2</v>
      </c>
      <c r="J278" s="58">
        <v>0.2138796583237863</v>
      </c>
    </row>
    <row r="279" spans="1:10" ht="11.25" customHeight="1" x14ac:dyDescent="0.2">
      <c r="A279" s="67">
        <v>44440</v>
      </c>
      <c r="B279" s="57">
        <v>0</v>
      </c>
      <c r="C279" s="57">
        <v>0</v>
      </c>
      <c r="D279" s="57">
        <v>6822.21468</v>
      </c>
      <c r="E279" s="57">
        <v>8507.8308987921846</v>
      </c>
      <c r="F279" s="57">
        <v>1670.72786</v>
      </c>
      <c r="G279" s="57">
        <v>1801.5792898265652</v>
      </c>
      <c r="H279" s="58">
        <v>0.24707756906767186</v>
      </c>
      <c r="I279" s="58">
        <v>7.8320014264061655E-2</v>
      </c>
      <c r="J279" s="58">
        <v>0.2138796583237863</v>
      </c>
    </row>
    <row r="280" spans="1:10" ht="11.25" customHeight="1" x14ac:dyDescent="0.2">
      <c r="A280" s="67">
        <v>44470</v>
      </c>
      <c r="B280" s="57">
        <v>0</v>
      </c>
      <c r="C280" s="57">
        <v>0</v>
      </c>
      <c r="D280" s="57">
        <v>7584.1741800000009</v>
      </c>
      <c r="E280" s="57">
        <v>9458.0534997802042</v>
      </c>
      <c r="F280" s="57">
        <v>1857.3281100000002</v>
      </c>
      <c r="G280" s="57">
        <v>2002.7940740682427</v>
      </c>
      <c r="H280" s="58">
        <v>0.24707756906767186</v>
      </c>
      <c r="I280" s="58">
        <v>7.8320014264061655E-2</v>
      </c>
      <c r="J280" s="58">
        <v>0.2138796583237863</v>
      </c>
    </row>
    <row r="281" spans="1:10" ht="11.25" customHeight="1" x14ac:dyDescent="0.2">
      <c r="A281" s="67">
        <v>44501</v>
      </c>
      <c r="B281" s="57">
        <v>0</v>
      </c>
      <c r="C281" s="57">
        <v>0</v>
      </c>
      <c r="D281" s="57">
        <v>6999.3187799999996</v>
      </c>
      <c r="E281" s="57">
        <v>8728.6934492921027</v>
      </c>
      <c r="F281" s="57">
        <v>1714.0998099999999</v>
      </c>
      <c r="G281" s="57">
        <v>1848.3481315692252</v>
      </c>
      <c r="H281" s="58">
        <v>0.24707756906767186</v>
      </c>
      <c r="I281" s="58">
        <v>7.8320014264061655E-2</v>
      </c>
      <c r="J281" s="58">
        <v>0.21387965832378653</v>
      </c>
    </row>
    <row r="282" spans="1:10" ht="11.25" customHeight="1" x14ac:dyDescent="0.2">
      <c r="A282" s="67">
        <v>44531</v>
      </c>
      <c r="B282" s="57">
        <v>0</v>
      </c>
      <c r="C282" s="57">
        <v>0</v>
      </c>
      <c r="D282" s="57">
        <v>7932.6162000000004</v>
      </c>
      <c r="E282" s="57">
        <v>9892.5877270428336</v>
      </c>
      <c r="F282" s="57">
        <v>1942.6599000000001</v>
      </c>
      <c r="G282" s="57">
        <v>2094.8090510782208</v>
      </c>
      <c r="H282" s="58">
        <v>0.24707756906767186</v>
      </c>
      <c r="I282" s="58">
        <v>7.8320014264061655E-2</v>
      </c>
      <c r="J282" s="58">
        <v>0.2138796583237863</v>
      </c>
    </row>
    <row r="283" spans="1:10" ht="11.25" customHeight="1" x14ac:dyDescent="0.2">
      <c r="A283" s="67">
        <v>44562</v>
      </c>
      <c r="B283" s="57">
        <v>0</v>
      </c>
      <c r="C283" s="57">
        <v>0</v>
      </c>
      <c r="D283" s="57">
        <v>5566.8349200000002</v>
      </c>
      <c r="E283" s="57">
        <v>6942.2749594346278</v>
      </c>
      <c r="F283" s="57">
        <v>1363.29134</v>
      </c>
      <c r="G283" s="57">
        <v>1470.0643371948718</v>
      </c>
      <c r="H283" s="58">
        <v>0.24707756906767186</v>
      </c>
      <c r="I283" s="58">
        <v>7.8320014264061655E-2</v>
      </c>
      <c r="J283" s="58">
        <v>0.2138796583237863</v>
      </c>
    </row>
    <row r="284" spans="1:10" ht="11.25" customHeight="1" x14ac:dyDescent="0.2">
      <c r="A284" s="67">
        <v>44593</v>
      </c>
      <c r="B284" s="57">
        <v>0</v>
      </c>
      <c r="C284" s="57">
        <v>0</v>
      </c>
      <c r="D284" s="57">
        <v>8178.0907200000011</v>
      </c>
      <c r="E284" s="57">
        <v>10198.713494712487</v>
      </c>
      <c r="F284" s="57">
        <v>2002.7754400000001</v>
      </c>
      <c r="G284" s="57">
        <v>2159.6328410285123</v>
      </c>
      <c r="H284" s="58">
        <v>0.24707756906767186</v>
      </c>
      <c r="I284" s="58">
        <v>7.8320014264061655E-2</v>
      </c>
      <c r="J284" s="58">
        <v>0.2138796583237863</v>
      </c>
    </row>
    <row r="285" spans="1:10" ht="11.25" customHeight="1" x14ac:dyDescent="0.2">
      <c r="A285" s="67">
        <v>44621</v>
      </c>
      <c r="B285" s="57">
        <v>0</v>
      </c>
      <c r="C285" s="57">
        <v>0</v>
      </c>
      <c r="D285" s="57">
        <v>9841.2217799999999</v>
      </c>
      <c r="E285" s="57">
        <v>12272.766934058225</v>
      </c>
      <c r="F285" s="57">
        <v>2410.0683099999997</v>
      </c>
      <c r="G285" s="57">
        <v>2598.8248944165625</v>
      </c>
      <c r="H285" s="58">
        <v>0.24707756906767164</v>
      </c>
      <c r="I285" s="58">
        <v>7.8320014264061655E-2</v>
      </c>
      <c r="J285" s="58">
        <v>0.2138796583237863</v>
      </c>
    </row>
    <row r="286" spans="1:10" ht="11.25" customHeight="1" x14ac:dyDescent="0.2">
      <c r="A286" s="62" t="s">
        <v>46</v>
      </c>
      <c r="B286" s="57">
        <v>0</v>
      </c>
      <c r="C286" s="57">
        <v>0</v>
      </c>
      <c r="D286" s="57">
        <v>69661.302953999999</v>
      </c>
      <c r="E286" s="57">
        <v>86873.048345960953</v>
      </c>
      <c r="F286" s="57">
        <v>17059.721082999997</v>
      </c>
      <c r="G286" s="57">
        <v>18395.838681561472</v>
      </c>
      <c r="H286" s="58">
        <v>0.24707756906767186</v>
      </c>
      <c r="I286" s="58">
        <v>7.8320014264061877E-2</v>
      </c>
      <c r="J286" s="58">
        <v>0.21387965832378653</v>
      </c>
    </row>
    <row r="287" spans="1:10" ht="11.25" customHeight="1" x14ac:dyDescent="0.2">
      <c r="A287" s="63" t="s">
        <v>47</v>
      </c>
      <c r="B287" s="57">
        <v>0</v>
      </c>
      <c r="C287" s="57">
        <v>0</v>
      </c>
      <c r="D287" s="57">
        <v>69661.302953999999</v>
      </c>
      <c r="E287" s="57">
        <v>86873.048345960953</v>
      </c>
      <c r="F287" s="57">
        <v>17059.721082999997</v>
      </c>
      <c r="G287" s="57">
        <v>18395.838681561472</v>
      </c>
      <c r="H287" s="58">
        <v>0.24707756906767186</v>
      </c>
      <c r="I287" s="58">
        <v>7.8320014264061877E-2</v>
      </c>
      <c r="J287" s="58">
        <v>0.21387965832378653</v>
      </c>
    </row>
    <row r="288" spans="1:10" ht="11.25" customHeight="1" x14ac:dyDescent="0.2">
      <c r="A288" s="64" t="s">
        <v>25</v>
      </c>
      <c r="B288" s="57">
        <v>0</v>
      </c>
      <c r="C288" s="57">
        <v>0</v>
      </c>
      <c r="D288" s="57">
        <v>69661.302953999999</v>
      </c>
      <c r="E288" s="57">
        <v>86873.048345960953</v>
      </c>
      <c r="F288" s="57">
        <v>17059.721082999997</v>
      </c>
      <c r="G288" s="57">
        <v>18395.838681561472</v>
      </c>
      <c r="H288" s="58">
        <v>0.24707756906767186</v>
      </c>
      <c r="I288" s="58">
        <v>7.8320014264061877E-2</v>
      </c>
      <c r="J288" s="58">
        <v>0.21387965832378653</v>
      </c>
    </row>
    <row r="289" spans="1:10" ht="11.25" customHeight="1" x14ac:dyDescent="0.2">
      <c r="A289" s="65" t="s">
        <v>25</v>
      </c>
      <c r="B289" s="57">
        <v>0</v>
      </c>
      <c r="C289" s="57">
        <v>0</v>
      </c>
      <c r="D289" s="57">
        <v>69661.302953999999</v>
      </c>
      <c r="E289" s="57">
        <v>86873.048345960953</v>
      </c>
      <c r="F289" s="57">
        <v>17059.721082999997</v>
      </c>
      <c r="G289" s="57">
        <v>18395.838681561472</v>
      </c>
      <c r="H289" s="58">
        <v>0.24707756906767186</v>
      </c>
      <c r="I289" s="58">
        <v>7.8320014264061877E-2</v>
      </c>
      <c r="J289" s="58">
        <v>0.21387965832378653</v>
      </c>
    </row>
    <row r="290" spans="1:10" ht="11.25" customHeight="1" x14ac:dyDescent="0.2">
      <c r="A290" s="66" t="s">
        <v>25</v>
      </c>
      <c r="B290" s="57">
        <v>0</v>
      </c>
      <c r="C290" s="57">
        <v>0</v>
      </c>
      <c r="D290" s="57">
        <v>69661.302953999999</v>
      </c>
      <c r="E290" s="57">
        <v>86873.048345960953</v>
      </c>
      <c r="F290" s="57">
        <v>17059.721082999997</v>
      </c>
      <c r="G290" s="57">
        <v>18395.838681561472</v>
      </c>
      <c r="H290" s="58">
        <v>0.24707756906767186</v>
      </c>
      <c r="I290" s="58">
        <v>7.8320014264061877E-2</v>
      </c>
      <c r="J290" s="58">
        <v>0.21387965832378653</v>
      </c>
    </row>
    <row r="291" spans="1:10" ht="11.25" customHeight="1" x14ac:dyDescent="0.2">
      <c r="A291" s="67">
        <v>44287</v>
      </c>
      <c r="B291" s="57">
        <v>0</v>
      </c>
      <c r="C291" s="57">
        <v>0</v>
      </c>
      <c r="D291" s="57">
        <v>5881.7012975999996</v>
      </c>
      <c r="E291" s="57">
        <v>7334.9377561931788</v>
      </c>
      <c r="F291" s="57">
        <v>1440.4006151999997</v>
      </c>
      <c r="G291" s="57">
        <v>1553.2128119284271</v>
      </c>
      <c r="H291" s="58">
        <v>0.24707756906767186</v>
      </c>
      <c r="I291" s="58">
        <v>7.8320014264061877E-2</v>
      </c>
      <c r="J291" s="58">
        <v>0.21387965832378653</v>
      </c>
    </row>
    <row r="292" spans="1:10" ht="11.25" customHeight="1" x14ac:dyDescent="0.2">
      <c r="A292" s="67">
        <v>44317</v>
      </c>
      <c r="B292" s="57">
        <v>0</v>
      </c>
      <c r="C292" s="57">
        <v>0</v>
      </c>
      <c r="D292" s="57">
        <v>6067.5370415999996</v>
      </c>
      <c r="E292" s="57">
        <v>7566.6893440665808</v>
      </c>
      <c r="F292" s="57">
        <v>1485.9109031999999</v>
      </c>
      <c r="G292" s="57">
        <v>1602.2874663337486</v>
      </c>
      <c r="H292" s="58">
        <v>0.24707756906767186</v>
      </c>
      <c r="I292" s="58">
        <v>7.8320014264061655E-2</v>
      </c>
      <c r="J292" s="58">
        <v>0.2138796583237863</v>
      </c>
    </row>
    <row r="293" spans="1:10" ht="11.25" customHeight="1" x14ac:dyDescent="0.2">
      <c r="A293" s="67">
        <v>44348</v>
      </c>
      <c r="B293" s="57">
        <v>0</v>
      </c>
      <c r="C293" s="57">
        <v>0</v>
      </c>
      <c r="D293" s="57">
        <v>6368.7458099999994</v>
      </c>
      <c r="E293" s="57">
        <v>7942.32004274472</v>
      </c>
      <c r="F293" s="57">
        <v>1559.6754949999997</v>
      </c>
      <c r="G293" s="57">
        <v>1681.8293020157073</v>
      </c>
      <c r="H293" s="58">
        <v>0.24707756906767186</v>
      </c>
      <c r="I293" s="58">
        <v>7.8320014264061655E-2</v>
      </c>
      <c r="J293" s="58">
        <v>0.21387965832378653</v>
      </c>
    </row>
    <row r="294" spans="1:10" ht="11.25" customHeight="1" x14ac:dyDescent="0.2">
      <c r="A294" s="67">
        <v>44378</v>
      </c>
      <c r="B294" s="57">
        <v>0</v>
      </c>
      <c r="C294" s="57">
        <v>0</v>
      </c>
      <c r="D294" s="57">
        <v>6298.2830904000002</v>
      </c>
      <c r="E294" s="57">
        <v>7854.4475656760551</v>
      </c>
      <c r="F294" s="57">
        <v>1542.4195107999999</v>
      </c>
      <c r="G294" s="57">
        <v>1663.2218288870229</v>
      </c>
      <c r="H294" s="58">
        <v>0.24707756906767164</v>
      </c>
      <c r="I294" s="58">
        <v>7.8320014264061655E-2</v>
      </c>
      <c r="J294" s="58">
        <v>0.21387965832378608</v>
      </c>
    </row>
    <row r="295" spans="1:10" ht="11.25" customHeight="1" x14ac:dyDescent="0.2">
      <c r="A295" s="67">
        <v>44409</v>
      </c>
      <c r="B295" s="57">
        <v>0</v>
      </c>
      <c r="C295" s="57">
        <v>0</v>
      </c>
      <c r="D295" s="57">
        <v>7067.1784812000005</v>
      </c>
      <c r="E295" s="57">
        <v>8813.3197605022579</v>
      </c>
      <c r="F295" s="57">
        <v>1730.7183273999999</v>
      </c>
      <c r="G295" s="57">
        <v>1866.2682114890408</v>
      </c>
      <c r="H295" s="58">
        <v>0.24707756906767186</v>
      </c>
      <c r="I295" s="58">
        <v>7.8320014264061655E-2</v>
      </c>
      <c r="J295" s="58">
        <v>0.2138796583237863</v>
      </c>
    </row>
    <row r="296" spans="1:10" ht="11.25" customHeight="1" x14ac:dyDescent="0.2">
      <c r="A296" s="67">
        <v>44440</v>
      </c>
      <c r="B296" s="57">
        <v>0</v>
      </c>
      <c r="C296" s="57">
        <v>0</v>
      </c>
      <c r="D296" s="57">
        <v>6594.0716495999995</v>
      </c>
      <c r="E296" s="57">
        <v>8223.318843041221</v>
      </c>
      <c r="F296" s="57">
        <v>1614.8567191999998</v>
      </c>
      <c r="G296" s="57">
        <v>1741.3323204821595</v>
      </c>
      <c r="H296" s="58">
        <v>0.24707756906767186</v>
      </c>
      <c r="I296" s="58">
        <v>7.8320014264061655E-2</v>
      </c>
      <c r="J296" s="58">
        <v>0.2138796583237863</v>
      </c>
    </row>
    <row r="297" spans="1:10" ht="11.25" customHeight="1" x14ac:dyDescent="0.2">
      <c r="A297" s="67">
        <v>44470</v>
      </c>
      <c r="B297" s="57">
        <v>0</v>
      </c>
      <c r="C297" s="57">
        <v>0</v>
      </c>
      <c r="D297" s="57">
        <v>6197.6220624000007</v>
      </c>
      <c r="E297" s="57">
        <v>7728.9154555779633</v>
      </c>
      <c r="F297" s="57">
        <v>1517.7681047999999</v>
      </c>
      <c r="G297" s="57">
        <v>1636.6397244174739</v>
      </c>
      <c r="H297" s="58">
        <v>0.24707756906767186</v>
      </c>
      <c r="I297" s="58">
        <v>7.8320014264061655E-2</v>
      </c>
      <c r="J297" s="58">
        <v>0.2138796583237863</v>
      </c>
    </row>
    <row r="298" spans="1:10" ht="11.25" customHeight="1" x14ac:dyDescent="0.2">
      <c r="A298" s="67">
        <v>44501</v>
      </c>
      <c r="B298" s="57">
        <v>0</v>
      </c>
      <c r="C298" s="57">
        <v>0</v>
      </c>
      <c r="D298" s="57">
        <v>5355.9410051999994</v>
      </c>
      <c r="E298" s="57">
        <v>6679.2738888346785</v>
      </c>
      <c r="F298" s="57">
        <v>1311.6444253999998</v>
      </c>
      <c r="G298" s="57">
        <v>1414.3724355067047</v>
      </c>
      <c r="H298" s="58">
        <v>0.24707756906767186</v>
      </c>
      <c r="I298" s="58">
        <v>7.8320014264061655E-2</v>
      </c>
      <c r="J298" s="58">
        <v>0.21387965832378653</v>
      </c>
    </row>
    <row r="299" spans="1:10" ht="11.25" customHeight="1" x14ac:dyDescent="0.2">
      <c r="A299" s="67">
        <v>44531</v>
      </c>
      <c r="B299" s="57">
        <v>0</v>
      </c>
      <c r="C299" s="57">
        <v>0</v>
      </c>
      <c r="D299" s="57">
        <v>4887.4800672000001</v>
      </c>
      <c r="E299" s="57">
        <v>6095.0667610704777</v>
      </c>
      <c r="F299" s="57">
        <v>1196.9205743999999</v>
      </c>
      <c r="G299" s="57">
        <v>1290.6634108599567</v>
      </c>
      <c r="H299" s="58">
        <v>0.24707756906767186</v>
      </c>
      <c r="I299" s="58">
        <v>7.8320014264061655E-2</v>
      </c>
      <c r="J299" s="58">
        <v>0.2138796583237863</v>
      </c>
    </row>
    <row r="300" spans="1:10" ht="11.25" customHeight="1" x14ac:dyDescent="0.2">
      <c r="A300" s="67">
        <v>44562</v>
      </c>
      <c r="B300" s="57">
        <v>0</v>
      </c>
      <c r="C300" s="57">
        <v>0</v>
      </c>
      <c r="D300" s="57">
        <v>5534.8079088000004</v>
      </c>
      <c r="E300" s="57">
        <v>6902.3347921628283</v>
      </c>
      <c r="F300" s="57">
        <v>1355.4480776</v>
      </c>
      <c r="G300" s="57">
        <v>1461.6067903718269</v>
      </c>
      <c r="H300" s="58">
        <v>0.24707756906767164</v>
      </c>
      <c r="I300" s="58">
        <v>7.8320014264061655E-2</v>
      </c>
      <c r="J300" s="58">
        <v>0.2138796583237863</v>
      </c>
    </row>
    <row r="301" spans="1:10" ht="11.25" customHeight="1" x14ac:dyDescent="0.2">
      <c r="A301" s="67">
        <v>44593</v>
      </c>
      <c r="B301" s="57">
        <v>0</v>
      </c>
      <c r="C301" s="57">
        <v>0</v>
      </c>
      <c r="D301" s="57">
        <v>4860.3790212000004</v>
      </c>
      <c r="E301" s="57">
        <v>6061.2696545056069</v>
      </c>
      <c r="F301" s="57">
        <v>1190.2836574</v>
      </c>
      <c r="G301" s="57">
        <v>1283.5066904258474</v>
      </c>
      <c r="H301" s="58">
        <v>0.24707756906767186</v>
      </c>
      <c r="I301" s="58">
        <v>7.8320014264061655E-2</v>
      </c>
      <c r="J301" s="58">
        <v>0.2138796583237863</v>
      </c>
    </row>
    <row r="302" spans="1:10" ht="11.25" customHeight="1" x14ac:dyDescent="0.2">
      <c r="A302" s="67">
        <v>44621</v>
      </c>
      <c r="B302" s="57">
        <v>0</v>
      </c>
      <c r="C302" s="57">
        <v>0</v>
      </c>
      <c r="D302" s="57">
        <v>4547.5555187999998</v>
      </c>
      <c r="E302" s="57">
        <v>5671.1544815853795</v>
      </c>
      <c r="F302" s="57">
        <v>1113.6746725999999</v>
      </c>
      <c r="G302" s="57">
        <v>1200.8976888435561</v>
      </c>
      <c r="H302" s="58">
        <v>0.24707756906767186</v>
      </c>
      <c r="I302" s="58">
        <v>7.8320014264061655E-2</v>
      </c>
      <c r="J302" s="58">
        <v>0.2138796583237863</v>
      </c>
    </row>
    <row r="303" spans="1:10" ht="11.25" customHeight="1" x14ac:dyDescent="0.2">
      <c r="A303" s="60" t="s">
        <v>43</v>
      </c>
      <c r="B303" s="57">
        <v>0</v>
      </c>
      <c r="C303" s="57">
        <v>0</v>
      </c>
      <c r="D303" s="57">
        <v>290719.05857999995</v>
      </c>
      <c r="E303" s="57">
        <v>376232.21526625677</v>
      </c>
      <c r="F303" s="57">
        <v>71198.134919999997</v>
      </c>
      <c r="G303" s="57">
        <v>76772.147893943955</v>
      </c>
      <c r="H303" s="58">
        <v>0.29414362135025063</v>
      </c>
      <c r="I303" s="58">
        <v>7.8288749841650462E-2</v>
      </c>
      <c r="J303" s="58">
        <v>0.25167958664611167</v>
      </c>
    </row>
    <row r="304" spans="1:10" ht="11.25" customHeight="1" x14ac:dyDescent="0.2">
      <c r="A304" s="61" t="s">
        <v>23</v>
      </c>
      <c r="B304" s="57">
        <v>0</v>
      </c>
      <c r="C304" s="57">
        <v>0</v>
      </c>
      <c r="D304" s="57">
        <v>290719.05857999995</v>
      </c>
      <c r="E304" s="57">
        <v>376232.21526625677</v>
      </c>
      <c r="F304" s="57">
        <v>71198.134919999997</v>
      </c>
      <c r="G304" s="57">
        <v>76772.147893943955</v>
      </c>
      <c r="H304" s="58">
        <v>0.29414362135025063</v>
      </c>
      <c r="I304" s="58">
        <v>7.8288749841650462E-2</v>
      </c>
      <c r="J304" s="58">
        <v>0.25167958664611167</v>
      </c>
    </row>
    <row r="305" spans="1:10" ht="11.25" customHeight="1" x14ac:dyDescent="0.2">
      <c r="A305" s="62" t="s">
        <v>44</v>
      </c>
      <c r="B305" s="57">
        <v>0</v>
      </c>
      <c r="C305" s="57">
        <v>0</v>
      </c>
      <c r="D305" s="57">
        <v>290719.05857999995</v>
      </c>
      <c r="E305" s="57">
        <v>376232.21526625677</v>
      </c>
      <c r="F305" s="57">
        <v>71198.134919999997</v>
      </c>
      <c r="G305" s="57">
        <v>76772.147893943955</v>
      </c>
      <c r="H305" s="58">
        <v>0.29414362135025063</v>
      </c>
      <c r="I305" s="58">
        <v>7.8288749841650462E-2</v>
      </c>
      <c r="J305" s="58">
        <v>0.25167958664611167</v>
      </c>
    </row>
    <row r="306" spans="1:10" ht="11.25" customHeight="1" x14ac:dyDescent="0.2">
      <c r="A306" s="63" t="s">
        <v>45</v>
      </c>
      <c r="B306" s="57">
        <v>0</v>
      </c>
      <c r="C306" s="57">
        <v>0</v>
      </c>
      <c r="D306" s="57">
        <v>290719.05857999995</v>
      </c>
      <c r="E306" s="57">
        <v>376232.21526625677</v>
      </c>
      <c r="F306" s="57">
        <v>71198.134919999997</v>
      </c>
      <c r="G306" s="57">
        <v>76772.147893943955</v>
      </c>
      <c r="H306" s="58">
        <v>0.29414362135025063</v>
      </c>
      <c r="I306" s="58">
        <v>7.8288749841650462E-2</v>
      </c>
      <c r="J306" s="58">
        <v>0.25167958664611167</v>
      </c>
    </row>
    <row r="307" spans="1:10" ht="11.25" customHeight="1" x14ac:dyDescent="0.2">
      <c r="A307" s="64" t="s">
        <v>25</v>
      </c>
      <c r="B307" s="57">
        <v>0</v>
      </c>
      <c r="C307" s="57">
        <v>0</v>
      </c>
      <c r="D307" s="57">
        <v>290719.05857999995</v>
      </c>
      <c r="E307" s="57">
        <v>376232.21526625677</v>
      </c>
      <c r="F307" s="57">
        <v>71198.134919999997</v>
      </c>
      <c r="G307" s="57">
        <v>76772.147893943955</v>
      </c>
      <c r="H307" s="58">
        <v>0.29414362135025063</v>
      </c>
      <c r="I307" s="58">
        <v>7.8288749841650462E-2</v>
      </c>
      <c r="J307" s="58">
        <v>0.25167958664611167</v>
      </c>
    </row>
    <row r="308" spans="1:10" ht="11.25" customHeight="1" x14ac:dyDescent="0.2">
      <c r="A308" s="65" t="s">
        <v>25</v>
      </c>
      <c r="B308" s="57">
        <v>0</v>
      </c>
      <c r="C308" s="57">
        <v>0</v>
      </c>
      <c r="D308" s="57">
        <v>290719.05857999995</v>
      </c>
      <c r="E308" s="57">
        <v>376232.21526625677</v>
      </c>
      <c r="F308" s="57">
        <v>71198.134919999997</v>
      </c>
      <c r="G308" s="57">
        <v>76772.147893943955</v>
      </c>
      <c r="H308" s="58">
        <v>0.29414362135025063</v>
      </c>
      <c r="I308" s="58">
        <v>7.8288749841650462E-2</v>
      </c>
      <c r="J308" s="58">
        <v>0.25167958664611167</v>
      </c>
    </row>
    <row r="309" spans="1:10" ht="11.25" customHeight="1" x14ac:dyDescent="0.2">
      <c r="A309" s="66" t="s">
        <v>25</v>
      </c>
      <c r="B309" s="57">
        <v>0</v>
      </c>
      <c r="C309" s="57">
        <v>0</v>
      </c>
      <c r="D309" s="57">
        <v>290719.05857999995</v>
      </c>
      <c r="E309" s="57">
        <v>376232.21526625677</v>
      </c>
      <c r="F309" s="57">
        <v>71198.134919999997</v>
      </c>
      <c r="G309" s="57">
        <v>76772.147893943955</v>
      </c>
      <c r="H309" s="58">
        <v>0.29414362135025063</v>
      </c>
      <c r="I309" s="58">
        <v>7.8288749841650462E-2</v>
      </c>
      <c r="J309" s="58">
        <v>0.25167958664611167</v>
      </c>
    </row>
    <row r="310" spans="1:10" ht="11.25" customHeight="1" x14ac:dyDescent="0.2">
      <c r="A310" s="67">
        <v>44287</v>
      </c>
      <c r="B310" s="57">
        <v>0</v>
      </c>
      <c r="C310" s="57">
        <v>0</v>
      </c>
      <c r="D310" s="57">
        <v>25892.250059999998</v>
      </c>
      <c r="E310" s="57">
        <v>33508.29025755464</v>
      </c>
      <c r="F310" s="57">
        <v>6341.1044400000001</v>
      </c>
      <c r="G310" s="57">
        <v>6837.5415792229387</v>
      </c>
      <c r="H310" s="58">
        <v>0.29414362135025063</v>
      </c>
      <c r="I310" s="58">
        <v>7.8288749841650462E-2</v>
      </c>
      <c r="J310" s="58">
        <v>0.25167958664611167</v>
      </c>
    </row>
    <row r="311" spans="1:10" ht="11.25" customHeight="1" x14ac:dyDescent="0.2">
      <c r="A311" s="67">
        <v>44317</v>
      </c>
      <c r="B311" s="57">
        <v>0</v>
      </c>
      <c r="C311" s="57">
        <v>0</v>
      </c>
      <c r="D311" s="57">
        <v>25431.658159999999</v>
      </c>
      <c r="E311" s="57">
        <v>32912.218188124047</v>
      </c>
      <c r="F311" s="57">
        <v>6228.3038400000005</v>
      </c>
      <c r="G311" s="57">
        <v>6715.9099612675509</v>
      </c>
      <c r="H311" s="58">
        <v>0.29414362135025041</v>
      </c>
      <c r="I311" s="58">
        <v>7.8288749841650462E-2</v>
      </c>
      <c r="J311" s="58">
        <v>0.25167958664611145</v>
      </c>
    </row>
    <row r="312" spans="1:10" ht="11.25" customHeight="1" x14ac:dyDescent="0.2">
      <c r="A312" s="67">
        <v>44348</v>
      </c>
      <c r="B312" s="57">
        <v>0</v>
      </c>
      <c r="C312" s="57">
        <v>0</v>
      </c>
      <c r="D312" s="57">
        <v>24854.499400000001</v>
      </c>
      <c r="E312" s="57">
        <v>32165.291860363628</v>
      </c>
      <c r="F312" s="57">
        <v>6086.9556000000002</v>
      </c>
      <c r="G312" s="57">
        <v>6563.4957442656332</v>
      </c>
      <c r="H312" s="58">
        <v>0.29414362135025041</v>
      </c>
      <c r="I312" s="58">
        <v>7.8288749841650462E-2</v>
      </c>
      <c r="J312" s="58">
        <v>0.25167958664611145</v>
      </c>
    </row>
    <row r="313" spans="1:10" ht="11.25" customHeight="1" x14ac:dyDescent="0.2">
      <c r="A313" s="67">
        <v>44378</v>
      </c>
      <c r="B313" s="57">
        <v>0</v>
      </c>
      <c r="C313" s="57">
        <v>0</v>
      </c>
      <c r="D313" s="57">
        <v>25443.445820000001</v>
      </c>
      <c r="E313" s="57">
        <v>32927.473113123691</v>
      </c>
      <c r="F313" s="57">
        <v>6231.1906800000006</v>
      </c>
      <c r="G313" s="57">
        <v>6719.0228083621441</v>
      </c>
      <c r="H313" s="58">
        <v>0.29414362135025041</v>
      </c>
      <c r="I313" s="58">
        <v>7.8288749841650462E-2</v>
      </c>
      <c r="J313" s="58">
        <v>0.25167958664611167</v>
      </c>
    </row>
    <row r="314" spans="1:10" ht="11.25" customHeight="1" x14ac:dyDescent="0.2">
      <c r="A314" s="67">
        <v>44409</v>
      </c>
      <c r="B314" s="57">
        <v>0</v>
      </c>
      <c r="C314" s="57">
        <v>0</v>
      </c>
      <c r="D314" s="57">
        <v>24540.598379999999</v>
      </c>
      <c r="E314" s="57">
        <v>31759.05885759529</v>
      </c>
      <c r="F314" s="57">
        <v>6010.0801199999996</v>
      </c>
      <c r="G314" s="57">
        <v>6480.601779042956</v>
      </c>
      <c r="H314" s="58">
        <v>0.29414362135025041</v>
      </c>
      <c r="I314" s="58">
        <v>7.8288749841650462E-2</v>
      </c>
      <c r="J314" s="58">
        <v>0.25167958664611167</v>
      </c>
    </row>
    <row r="315" spans="1:10" ht="11.25" customHeight="1" x14ac:dyDescent="0.2">
      <c r="A315" s="67">
        <v>44440</v>
      </c>
      <c r="B315" s="57">
        <v>0</v>
      </c>
      <c r="C315" s="57">
        <v>0</v>
      </c>
      <c r="D315" s="57">
        <v>22519.669559999998</v>
      </c>
      <c r="E315" s="57">
        <v>29143.686715989403</v>
      </c>
      <c r="F315" s="57">
        <v>5515.1474399999997</v>
      </c>
      <c r="G315" s="57">
        <v>5946.9214382699793</v>
      </c>
      <c r="H315" s="58">
        <v>0.29414362135025063</v>
      </c>
      <c r="I315" s="58">
        <v>7.8288749841650462E-2</v>
      </c>
      <c r="J315" s="58">
        <v>0.25167958664611167</v>
      </c>
    </row>
    <row r="316" spans="1:10" ht="11.25" customHeight="1" x14ac:dyDescent="0.2">
      <c r="A316" s="67">
        <v>44470</v>
      </c>
      <c r="B316" s="57">
        <v>0</v>
      </c>
      <c r="C316" s="57">
        <v>0</v>
      </c>
      <c r="D316" s="57">
        <v>22404.412439999996</v>
      </c>
      <c r="E316" s="57">
        <v>28994.5274493262</v>
      </c>
      <c r="F316" s="57">
        <v>5486.9205599999996</v>
      </c>
      <c r="G316" s="57">
        <v>5916.4847111228482</v>
      </c>
      <c r="H316" s="58">
        <v>0.29414362135025063</v>
      </c>
      <c r="I316" s="58">
        <v>7.8288749841650462E-2</v>
      </c>
      <c r="J316" s="58">
        <v>0.25167958664611167</v>
      </c>
    </row>
    <row r="317" spans="1:10" ht="11.25" customHeight="1" x14ac:dyDescent="0.2">
      <c r="A317" s="67">
        <v>44501</v>
      </c>
      <c r="B317" s="57">
        <v>0</v>
      </c>
      <c r="C317" s="57">
        <v>0</v>
      </c>
      <c r="D317" s="57">
        <v>22820.909759999999</v>
      </c>
      <c r="E317" s="57">
        <v>29533.534799313675</v>
      </c>
      <c r="F317" s="57">
        <v>5588.9222399999999</v>
      </c>
      <c r="G317" s="57">
        <v>6026.4719751317962</v>
      </c>
      <c r="H317" s="58">
        <v>0.29414362135025063</v>
      </c>
      <c r="I317" s="58">
        <v>7.8288749841650462E-2</v>
      </c>
      <c r="J317" s="58">
        <v>0.25167958664611167</v>
      </c>
    </row>
    <row r="318" spans="1:10" ht="11.25" customHeight="1" x14ac:dyDescent="0.2">
      <c r="A318" s="67">
        <v>44531</v>
      </c>
      <c r="B318" s="57">
        <v>0</v>
      </c>
      <c r="C318" s="57">
        <v>0</v>
      </c>
      <c r="D318" s="57">
        <v>25704.084079999997</v>
      </c>
      <c r="E318" s="57">
        <v>33264.776454782521</v>
      </c>
      <c r="F318" s="57">
        <v>6295.0219200000001</v>
      </c>
      <c r="G318" s="57">
        <v>6787.851316342586</v>
      </c>
      <c r="H318" s="58">
        <v>0.29414362135025063</v>
      </c>
      <c r="I318" s="58">
        <v>7.8288749841650462E-2</v>
      </c>
      <c r="J318" s="58">
        <v>0.25167958664611167</v>
      </c>
    </row>
    <row r="319" spans="1:10" ht="11.25" customHeight="1" x14ac:dyDescent="0.2">
      <c r="A319" s="67">
        <v>44562</v>
      </c>
      <c r="B319" s="57">
        <v>0</v>
      </c>
      <c r="C319" s="57">
        <v>0</v>
      </c>
      <c r="D319" s="57">
        <v>23439.980199999998</v>
      </c>
      <c r="E319" s="57">
        <v>30334.700860406167</v>
      </c>
      <c r="F319" s="57">
        <v>5740.5347999999994</v>
      </c>
      <c r="G319" s="57">
        <v>6189.9540929144887</v>
      </c>
      <c r="H319" s="58">
        <v>0.29414362135025041</v>
      </c>
      <c r="I319" s="58">
        <v>7.8288749841650462E-2</v>
      </c>
      <c r="J319" s="58">
        <v>0.25167958664611145</v>
      </c>
    </row>
    <row r="320" spans="1:10" ht="11.25" customHeight="1" x14ac:dyDescent="0.2">
      <c r="A320" s="67">
        <v>44593</v>
      </c>
      <c r="B320" s="57">
        <v>0</v>
      </c>
      <c r="C320" s="57">
        <v>0</v>
      </c>
      <c r="D320" s="57">
        <v>22051.655799999997</v>
      </c>
      <c r="E320" s="57">
        <v>28538.009693781252</v>
      </c>
      <c r="F320" s="57">
        <v>5400.5291999999999</v>
      </c>
      <c r="G320" s="57">
        <v>5823.3298795513283</v>
      </c>
      <c r="H320" s="58">
        <v>0.29414362135025063</v>
      </c>
      <c r="I320" s="58">
        <v>7.8288749841650462E-2</v>
      </c>
      <c r="J320" s="58">
        <v>0.25167958664611167</v>
      </c>
    </row>
    <row r="321" spans="1:10" ht="11.25" customHeight="1" x14ac:dyDescent="0.2">
      <c r="A321" s="67">
        <v>44621</v>
      </c>
      <c r="B321" s="57">
        <v>0</v>
      </c>
      <c r="C321" s="57">
        <v>0</v>
      </c>
      <c r="D321" s="57">
        <v>25615.894919999999</v>
      </c>
      <c r="E321" s="57">
        <v>33150.647015896284</v>
      </c>
      <c r="F321" s="57">
        <v>6273.4240799999998</v>
      </c>
      <c r="G321" s="57">
        <v>6764.5626084497062</v>
      </c>
      <c r="H321" s="58">
        <v>0.29414362135025041</v>
      </c>
      <c r="I321" s="58">
        <v>7.8288749841650462E-2</v>
      </c>
      <c r="J321" s="58">
        <v>0.25167958664611145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F07B-3268-4426-9467-181FDA902D60}">
  <dimension ref="A1:G167"/>
  <sheetViews>
    <sheetView showGridLines="0" workbookViewId="0"/>
  </sheetViews>
  <sheetFormatPr defaultColWidth="9.109375" defaultRowHeight="11.25" customHeight="1" x14ac:dyDescent="0.2"/>
  <cols>
    <col min="1" max="1" width="34.6640625" style="16" bestFit="1" customWidth="1"/>
    <col min="2" max="2" width="20.44140625" style="57" bestFit="1" customWidth="1"/>
    <col min="3" max="3" width="21.88671875" style="57" bestFit="1" customWidth="1"/>
    <col min="4" max="4" width="20.33203125" style="57" bestFit="1" customWidth="1"/>
    <col min="5" max="5" width="21.6640625" style="57" bestFit="1" customWidth="1"/>
    <col min="6" max="6" width="14.88671875" style="57" bestFit="1" customWidth="1"/>
    <col min="7" max="7" width="14.6640625" style="57" bestFit="1" customWidth="1"/>
    <col min="8" max="16384" width="9.109375" style="16"/>
  </cols>
  <sheetData>
    <row r="1" spans="1:7" ht="11.25" customHeight="1" x14ac:dyDescent="0.2">
      <c r="A1" s="56" t="s">
        <v>529</v>
      </c>
      <c r="B1" s="57" t="s">
        <v>555</v>
      </c>
      <c r="C1" s="57" t="s">
        <v>556</v>
      </c>
      <c r="D1" s="57" t="s">
        <v>557</v>
      </c>
      <c r="E1" s="57" t="s">
        <v>558</v>
      </c>
      <c r="F1" s="57" t="s">
        <v>559</v>
      </c>
      <c r="G1" s="57" t="s">
        <v>560</v>
      </c>
    </row>
    <row r="2" spans="1:7" ht="11.25" customHeight="1" x14ac:dyDescent="0.2">
      <c r="A2" s="59" t="s">
        <v>546</v>
      </c>
      <c r="B2" s="57">
        <v>0</v>
      </c>
      <c r="C2" s="57">
        <v>5535.3845130000027</v>
      </c>
      <c r="D2" s="57">
        <v>0</v>
      </c>
      <c r="E2" s="57">
        <v>6719.2906613312216</v>
      </c>
      <c r="F2" s="57">
        <v>5535.3845130000027</v>
      </c>
      <c r="G2" s="57">
        <v>6719.2906613312216</v>
      </c>
    </row>
    <row r="3" spans="1:7" ht="11.25" customHeight="1" x14ac:dyDescent="0.2">
      <c r="A3" s="60" t="s">
        <v>33</v>
      </c>
      <c r="B3" s="57">
        <v>0</v>
      </c>
      <c r="C3" s="57">
        <v>5535.3845130000027</v>
      </c>
      <c r="D3" s="57">
        <v>0</v>
      </c>
      <c r="E3" s="57">
        <v>6719.2906613312216</v>
      </c>
      <c r="F3" s="57">
        <v>5535.3845130000027</v>
      </c>
      <c r="G3" s="57">
        <v>6719.2906613312216</v>
      </c>
    </row>
    <row r="4" spans="1:7" ht="11.25" customHeight="1" x14ac:dyDescent="0.2">
      <c r="A4" s="61" t="s">
        <v>23</v>
      </c>
      <c r="B4" s="57">
        <v>0</v>
      </c>
      <c r="C4" s="57">
        <v>5535.3845130000027</v>
      </c>
      <c r="D4" s="57">
        <v>0</v>
      </c>
      <c r="E4" s="57">
        <v>6719.2906613312216</v>
      </c>
      <c r="F4" s="57">
        <v>5535.3845130000027</v>
      </c>
      <c r="G4" s="57">
        <v>6719.2906613312216</v>
      </c>
    </row>
    <row r="5" spans="1:7" ht="11.25" customHeight="1" x14ac:dyDescent="0.2">
      <c r="A5" s="62" t="s">
        <v>46</v>
      </c>
      <c r="B5" s="57">
        <v>0</v>
      </c>
      <c r="C5" s="57">
        <v>5535.3845130000027</v>
      </c>
      <c r="D5" s="57">
        <v>0</v>
      </c>
      <c r="E5" s="57">
        <v>6719.2906613312216</v>
      </c>
      <c r="F5" s="57">
        <v>5535.3845130000027</v>
      </c>
      <c r="G5" s="57">
        <v>6719.2906613312216</v>
      </c>
    </row>
    <row r="6" spans="1:7" ht="11.25" customHeight="1" x14ac:dyDescent="0.2">
      <c r="A6" s="63" t="s">
        <v>47</v>
      </c>
      <c r="B6" s="57">
        <v>0</v>
      </c>
      <c r="C6" s="57">
        <v>5535.3845130000027</v>
      </c>
      <c r="D6" s="57">
        <v>0</v>
      </c>
      <c r="E6" s="57">
        <v>6719.2906613312216</v>
      </c>
      <c r="F6" s="57">
        <v>5535.3845130000027</v>
      </c>
      <c r="G6" s="57">
        <v>6719.2906613312216</v>
      </c>
    </row>
    <row r="7" spans="1:7" ht="11.25" customHeight="1" x14ac:dyDescent="0.2">
      <c r="A7" s="64" t="s">
        <v>25</v>
      </c>
      <c r="B7" s="57">
        <v>0</v>
      </c>
      <c r="C7" s="57">
        <v>5535.3845130000027</v>
      </c>
      <c r="D7" s="57">
        <v>0</v>
      </c>
      <c r="E7" s="57">
        <v>6719.2906613312216</v>
      </c>
      <c r="F7" s="57">
        <v>5535.3845130000027</v>
      </c>
      <c r="G7" s="57">
        <v>6719.2906613312216</v>
      </c>
    </row>
    <row r="8" spans="1:7" ht="11.25" customHeight="1" x14ac:dyDescent="0.2">
      <c r="A8" s="65" t="s">
        <v>25</v>
      </c>
      <c r="B8" s="57">
        <v>0</v>
      </c>
      <c r="C8" s="57">
        <v>5535.3845130000027</v>
      </c>
      <c r="D8" s="57">
        <v>0</v>
      </c>
      <c r="E8" s="57">
        <v>6719.2906613312216</v>
      </c>
      <c r="F8" s="57">
        <v>5535.3845130000027</v>
      </c>
      <c r="G8" s="57">
        <v>6719.2906613312216</v>
      </c>
    </row>
    <row r="9" spans="1:7" ht="11.25" customHeight="1" x14ac:dyDescent="0.2">
      <c r="A9" s="66" t="s">
        <v>25</v>
      </c>
      <c r="B9" s="57">
        <v>0</v>
      </c>
      <c r="C9" s="57">
        <v>5535.3845130000027</v>
      </c>
      <c r="D9" s="57">
        <v>0</v>
      </c>
      <c r="E9" s="57">
        <v>6719.2906613312216</v>
      </c>
      <c r="F9" s="57">
        <v>5535.3845130000027</v>
      </c>
      <c r="G9" s="57">
        <v>6719.2906613312216</v>
      </c>
    </row>
    <row r="10" spans="1:7" ht="11.25" customHeight="1" x14ac:dyDescent="0.2">
      <c r="A10" s="67">
        <v>44287</v>
      </c>
      <c r="B10" s="57">
        <v>0</v>
      </c>
      <c r="C10" s="57">
        <v>467.3682072000006</v>
      </c>
      <c r="D10" s="57">
        <v>0</v>
      </c>
      <c r="E10" s="57">
        <v>567.32875966733729</v>
      </c>
      <c r="F10" s="57">
        <v>467.3682072000006</v>
      </c>
      <c r="G10" s="57">
        <v>567.32875966733729</v>
      </c>
    </row>
    <row r="11" spans="1:7" ht="11.25" customHeight="1" x14ac:dyDescent="0.2">
      <c r="A11" s="67">
        <v>44317</v>
      </c>
      <c r="B11" s="57">
        <v>0</v>
      </c>
      <c r="C11" s="57">
        <v>482.13497520000084</v>
      </c>
      <c r="D11" s="57">
        <v>0</v>
      </c>
      <c r="E11" s="57">
        <v>585.25383896172423</v>
      </c>
      <c r="F11" s="57">
        <v>482.13497520000084</v>
      </c>
      <c r="G11" s="57">
        <v>585.25383896172423</v>
      </c>
    </row>
    <row r="12" spans="1:7" ht="11.25" customHeight="1" x14ac:dyDescent="0.2">
      <c r="A12" s="67">
        <v>44348</v>
      </c>
      <c r="B12" s="57">
        <v>0</v>
      </c>
      <c r="C12" s="57">
        <v>506.06944500000009</v>
      </c>
      <c r="D12" s="57">
        <v>0</v>
      </c>
      <c r="E12" s="57">
        <v>614.30740498470823</v>
      </c>
      <c r="F12" s="57">
        <v>506.06944500000009</v>
      </c>
      <c r="G12" s="57">
        <v>614.30740498470823</v>
      </c>
    </row>
    <row r="13" spans="1:7" ht="11.25" customHeight="1" x14ac:dyDescent="0.2">
      <c r="A13" s="67">
        <v>44378</v>
      </c>
      <c r="B13" s="57">
        <v>0</v>
      </c>
      <c r="C13" s="57">
        <v>500.47037880000067</v>
      </c>
      <c r="D13" s="57">
        <v>0</v>
      </c>
      <c r="E13" s="57">
        <v>607.51081241892075</v>
      </c>
      <c r="F13" s="57">
        <v>500.47037880000067</v>
      </c>
      <c r="G13" s="57">
        <v>607.51081241892075</v>
      </c>
    </row>
    <row r="14" spans="1:7" ht="11.25" customHeight="1" x14ac:dyDescent="0.2">
      <c r="A14" s="67">
        <v>44409</v>
      </c>
      <c r="B14" s="57">
        <v>0</v>
      </c>
      <c r="C14" s="57">
        <v>561.56788140000026</v>
      </c>
      <c r="D14" s="57">
        <v>0</v>
      </c>
      <c r="E14" s="57">
        <v>681.67582799944478</v>
      </c>
      <c r="F14" s="57">
        <v>561.56788140000026</v>
      </c>
      <c r="G14" s="57">
        <v>681.67582799944478</v>
      </c>
    </row>
    <row r="15" spans="1:7" ht="11.25" customHeight="1" x14ac:dyDescent="0.2">
      <c r="A15" s="67">
        <v>44440</v>
      </c>
      <c r="B15" s="57">
        <v>0</v>
      </c>
      <c r="C15" s="57">
        <v>523.97415120000073</v>
      </c>
      <c r="D15" s="57">
        <v>0</v>
      </c>
      <c r="E15" s="57">
        <v>636.04156362915296</v>
      </c>
      <c r="F15" s="57">
        <v>523.97415120000073</v>
      </c>
      <c r="G15" s="57">
        <v>636.04156362915296</v>
      </c>
    </row>
    <row r="16" spans="1:7" ht="11.25" customHeight="1" x14ac:dyDescent="0.2">
      <c r="A16" s="67">
        <v>44470</v>
      </c>
      <c r="B16" s="57">
        <v>0</v>
      </c>
      <c r="C16" s="57">
        <v>492.4717127999993</v>
      </c>
      <c r="D16" s="57">
        <v>0</v>
      </c>
      <c r="E16" s="57">
        <v>597.80139446779299</v>
      </c>
      <c r="F16" s="57">
        <v>492.4717127999993</v>
      </c>
      <c r="G16" s="57">
        <v>597.80139446779299</v>
      </c>
    </row>
    <row r="17" spans="1:7" ht="11.25" customHeight="1" x14ac:dyDescent="0.2">
      <c r="A17" s="67">
        <v>44501</v>
      </c>
      <c r="B17" s="57">
        <v>0</v>
      </c>
      <c r="C17" s="57">
        <v>425.59055940000019</v>
      </c>
      <c r="D17" s="57">
        <v>0</v>
      </c>
      <c r="E17" s="57">
        <v>516.61572283030125</v>
      </c>
      <c r="F17" s="57">
        <v>425.59055940000019</v>
      </c>
      <c r="G17" s="57">
        <v>516.61572283030125</v>
      </c>
    </row>
    <row r="18" spans="1:7" ht="11.25" customHeight="1" x14ac:dyDescent="0.2">
      <c r="A18" s="67">
        <v>44531</v>
      </c>
      <c r="B18" s="57">
        <v>0</v>
      </c>
      <c r="C18" s="57">
        <v>388.36599840000036</v>
      </c>
      <c r="D18" s="57">
        <v>0</v>
      </c>
      <c r="E18" s="57">
        <v>471.42958544236865</v>
      </c>
      <c r="F18" s="57">
        <v>388.36599840000036</v>
      </c>
      <c r="G18" s="57">
        <v>471.42958544236865</v>
      </c>
    </row>
    <row r="19" spans="1:7" ht="11.25" customHeight="1" x14ac:dyDescent="0.2">
      <c r="A19" s="67">
        <v>44562</v>
      </c>
      <c r="B19" s="57">
        <v>0</v>
      </c>
      <c r="C19" s="57">
        <v>439.80357359999942</v>
      </c>
      <c r="D19" s="57">
        <v>0</v>
      </c>
      <c r="E19" s="57">
        <v>533.8686116511476</v>
      </c>
      <c r="F19" s="57">
        <v>439.80357359999942</v>
      </c>
      <c r="G19" s="57">
        <v>533.8686116511476</v>
      </c>
    </row>
    <row r="20" spans="1:7" ht="11.25" customHeight="1" x14ac:dyDescent="0.2">
      <c r="A20" s="67">
        <v>44593</v>
      </c>
      <c r="B20" s="57">
        <v>0</v>
      </c>
      <c r="C20" s="57">
        <v>386.21251139999993</v>
      </c>
      <c r="D20" s="57">
        <v>0</v>
      </c>
      <c r="E20" s="57">
        <v>468.81551137860339</v>
      </c>
      <c r="F20" s="57">
        <v>386.21251139999993</v>
      </c>
      <c r="G20" s="57">
        <v>468.81551137860339</v>
      </c>
    </row>
    <row r="21" spans="1:7" ht="11.25" customHeight="1" x14ac:dyDescent="0.2">
      <c r="A21" s="67">
        <v>44621</v>
      </c>
      <c r="B21" s="57">
        <v>0</v>
      </c>
      <c r="C21" s="57">
        <v>361.35511860000008</v>
      </c>
      <c r="D21" s="57">
        <v>0</v>
      </c>
      <c r="E21" s="57">
        <v>438.64162789971942</v>
      </c>
      <c r="F21" s="57">
        <v>361.35511860000008</v>
      </c>
      <c r="G21" s="57">
        <v>438.64162789971942</v>
      </c>
    </row>
    <row r="22" spans="1:7" ht="11.25" customHeight="1" x14ac:dyDescent="0.2">
      <c r="A22" s="59" t="s">
        <v>545</v>
      </c>
      <c r="B22" s="57">
        <v>0</v>
      </c>
      <c r="C22" s="57">
        <v>53299.877459999996</v>
      </c>
      <c r="D22" s="57">
        <v>0</v>
      </c>
      <c r="E22" s="57">
        <v>65222.877160703996</v>
      </c>
      <c r="F22" s="57">
        <v>53299.877459999996</v>
      </c>
      <c r="G22" s="57">
        <v>65222.877160704011</v>
      </c>
    </row>
    <row r="23" spans="1:7" ht="11.25" customHeight="1" x14ac:dyDescent="0.2">
      <c r="A23" s="60" t="s">
        <v>22</v>
      </c>
      <c r="B23" s="57">
        <v>0</v>
      </c>
      <c r="C23" s="57">
        <v>53299.877459999996</v>
      </c>
      <c r="D23" s="57">
        <v>0</v>
      </c>
      <c r="E23" s="57">
        <v>65222.877160703996</v>
      </c>
      <c r="F23" s="57">
        <v>53299.877459999996</v>
      </c>
      <c r="G23" s="57">
        <v>65222.877160704011</v>
      </c>
    </row>
    <row r="24" spans="1:7" ht="11.25" customHeight="1" x14ac:dyDescent="0.2">
      <c r="A24" s="61" t="s">
        <v>23</v>
      </c>
      <c r="B24" s="57">
        <v>0</v>
      </c>
      <c r="C24" s="57">
        <v>53299.877459999996</v>
      </c>
      <c r="D24" s="57">
        <v>0</v>
      </c>
      <c r="E24" s="57">
        <v>65222.877160703996</v>
      </c>
      <c r="F24" s="57">
        <v>53299.877459999996</v>
      </c>
      <c r="G24" s="57">
        <v>65222.877160704011</v>
      </c>
    </row>
    <row r="25" spans="1:7" ht="11.25" customHeight="1" x14ac:dyDescent="0.2">
      <c r="A25" s="62" t="s">
        <v>24</v>
      </c>
      <c r="B25" s="57">
        <v>0</v>
      </c>
      <c r="C25" s="57">
        <v>53299.877459999996</v>
      </c>
      <c r="D25" s="57">
        <v>0</v>
      </c>
      <c r="E25" s="57">
        <v>65222.877160703996</v>
      </c>
      <c r="F25" s="57">
        <v>53299.877459999996</v>
      </c>
      <c r="G25" s="57">
        <v>65222.877160704011</v>
      </c>
    </row>
    <row r="26" spans="1:7" ht="11.25" customHeight="1" x14ac:dyDescent="0.2">
      <c r="A26" s="63" t="s">
        <v>29</v>
      </c>
      <c r="B26" s="57">
        <v>0</v>
      </c>
      <c r="C26" s="57">
        <v>20380.087800000001</v>
      </c>
      <c r="D26" s="57">
        <v>0</v>
      </c>
      <c r="E26" s="57">
        <v>24939.129324941016</v>
      </c>
      <c r="F26" s="57">
        <v>20380.087800000001</v>
      </c>
      <c r="G26" s="57">
        <v>24939.129324941016</v>
      </c>
    </row>
    <row r="27" spans="1:7" ht="11.25" customHeight="1" x14ac:dyDescent="0.2">
      <c r="A27" s="64" t="s">
        <v>25</v>
      </c>
      <c r="B27" s="57">
        <v>0</v>
      </c>
      <c r="C27" s="57">
        <v>20380.087800000001</v>
      </c>
      <c r="D27" s="57">
        <v>0</v>
      </c>
      <c r="E27" s="57">
        <v>24939.129324941016</v>
      </c>
      <c r="F27" s="57">
        <v>20380.087800000001</v>
      </c>
      <c r="G27" s="57">
        <v>24939.129324941016</v>
      </c>
    </row>
    <row r="28" spans="1:7" ht="11.25" customHeight="1" x14ac:dyDescent="0.2">
      <c r="A28" s="65" t="s">
        <v>25</v>
      </c>
      <c r="B28" s="57">
        <v>0</v>
      </c>
      <c r="C28" s="57">
        <v>20380.087800000001</v>
      </c>
      <c r="D28" s="57">
        <v>0</v>
      </c>
      <c r="E28" s="57">
        <v>24939.129324941016</v>
      </c>
      <c r="F28" s="57">
        <v>20380.087800000001</v>
      </c>
      <c r="G28" s="57">
        <v>24939.129324941016</v>
      </c>
    </row>
    <row r="29" spans="1:7" ht="11.25" customHeight="1" x14ac:dyDescent="0.2">
      <c r="A29" s="66" t="s">
        <v>25</v>
      </c>
      <c r="B29" s="57">
        <v>0</v>
      </c>
      <c r="C29" s="57">
        <v>20380.087800000001</v>
      </c>
      <c r="D29" s="57">
        <v>0</v>
      </c>
      <c r="E29" s="57">
        <v>24939.129324941016</v>
      </c>
      <c r="F29" s="57">
        <v>20380.087800000001</v>
      </c>
      <c r="G29" s="57">
        <v>24939.129324941016</v>
      </c>
    </row>
    <row r="30" spans="1:7" ht="11.25" customHeight="1" x14ac:dyDescent="0.2">
      <c r="A30" s="67">
        <v>44287</v>
      </c>
      <c r="B30" s="57">
        <v>0</v>
      </c>
      <c r="C30" s="57">
        <v>1107.8045999999999</v>
      </c>
      <c r="D30" s="57">
        <v>0</v>
      </c>
      <c r="E30" s="57">
        <v>1355.6213524342397</v>
      </c>
      <c r="F30" s="57">
        <v>1107.8045999999999</v>
      </c>
      <c r="G30" s="57">
        <v>1355.6213524342397</v>
      </c>
    </row>
    <row r="31" spans="1:7" ht="11.25" customHeight="1" x14ac:dyDescent="0.2">
      <c r="A31" s="67">
        <v>44317</v>
      </c>
      <c r="B31" s="57">
        <v>0</v>
      </c>
      <c r="C31" s="57">
        <v>1195.7256</v>
      </c>
      <c r="D31" s="57">
        <v>0</v>
      </c>
      <c r="E31" s="57">
        <v>1463.2103486591795</v>
      </c>
      <c r="F31" s="57">
        <v>1195.7256</v>
      </c>
      <c r="G31" s="57">
        <v>1463.2103486591795</v>
      </c>
    </row>
    <row r="32" spans="1:7" ht="11.25" customHeight="1" x14ac:dyDescent="0.2">
      <c r="A32" s="67">
        <v>44348</v>
      </c>
      <c r="B32" s="57">
        <v>0</v>
      </c>
      <c r="C32" s="57">
        <v>1266.0624</v>
      </c>
      <c r="D32" s="57">
        <v>0</v>
      </c>
      <c r="E32" s="57">
        <v>1549.2815456391313</v>
      </c>
      <c r="F32" s="57">
        <v>1266.0624</v>
      </c>
      <c r="G32" s="57">
        <v>1549.2815456391313</v>
      </c>
    </row>
    <row r="33" spans="1:7" ht="11.25" customHeight="1" x14ac:dyDescent="0.2">
      <c r="A33" s="67">
        <v>44378</v>
      </c>
      <c r="B33" s="57">
        <v>0</v>
      </c>
      <c r="C33" s="57">
        <v>1301.2308</v>
      </c>
      <c r="D33" s="57">
        <v>0</v>
      </c>
      <c r="E33" s="57">
        <v>1592.3171441291072</v>
      </c>
      <c r="F33" s="57">
        <v>1301.2308</v>
      </c>
      <c r="G33" s="57">
        <v>1592.3171441291072</v>
      </c>
    </row>
    <row r="34" spans="1:7" ht="11.25" customHeight="1" x14ac:dyDescent="0.2">
      <c r="A34" s="67">
        <v>44409</v>
      </c>
      <c r="B34" s="57">
        <v>0</v>
      </c>
      <c r="C34" s="57">
        <v>1318.8150000000001</v>
      </c>
      <c r="D34" s="57">
        <v>0</v>
      </c>
      <c r="E34" s="57">
        <v>1613.834943374095</v>
      </c>
      <c r="F34" s="57">
        <v>1318.8150000000001</v>
      </c>
      <c r="G34" s="57">
        <v>1613.834943374095</v>
      </c>
    </row>
    <row r="35" spans="1:7" ht="11.25" customHeight="1" x14ac:dyDescent="0.2">
      <c r="A35" s="67">
        <v>44440</v>
      </c>
      <c r="B35" s="57">
        <v>0</v>
      </c>
      <c r="C35" s="57">
        <v>1371.5675999999999</v>
      </c>
      <c r="D35" s="57">
        <v>0</v>
      </c>
      <c r="E35" s="57">
        <v>1678.3883411090587</v>
      </c>
      <c r="F35" s="57">
        <v>1371.5675999999999</v>
      </c>
      <c r="G35" s="57">
        <v>1678.3883411090587</v>
      </c>
    </row>
    <row r="36" spans="1:7" ht="11.25" customHeight="1" x14ac:dyDescent="0.2">
      <c r="A36" s="67">
        <v>44470</v>
      </c>
      <c r="B36" s="57">
        <v>0</v>
      </c>
      <c r="C36" s="57">
        <v>1459.4886000000001</v>
      </c>
      <c r="D36" s="57">
        <v>0</v>
      </c>
      <c r="E36" s="57">
        <v>1785.9773373339985</v>
      </c>
      <c r="F36" s="57">
        <v>1459.4886000000001</v>
      </c>
      <c r="G36" s="57">
        <v>1785.9773373339985</v>
      </c>
    </row>
    <row r="37" spans="1:7" ht="11.25" customHeight="1" x14ac:dyDescent="0.2">
      <c r="A37" s="67">
        <v>44501</v>
      </c>
      <c r="B37" s="57">
        <v>0</v>
      </c>
      <c r="C37" s="57">
        <v>1582.578</v>
      </c>
      <c r="D37" s="57">
        <v>0</v>
      </c>
      <c r="E37" s="57">
        <v>1936.601932048914</v>
      </c>
      <c r="F37" s="57">
        <v>1582.578</v>
      </c>
      <c r="G37" s="57">
        <v>1936.601932048914</v>
      </c>
    </row>
    <row r="38" spans="1:7" ht="11.25" customHeight="1" x14ac:dyDescent="0.2">
      <c r="A38" s="67">
        <v>44531</v>
      </c>
      <c r="B38" s="57">
        <v>0</v>
      </c>
      <c r="C38" s="57">
        <v>1600.1622</v>
      </c>
      <c r="D38" s="57">
        <v>0</v>
      </c>
      <c r="E38" s="57">
        <v>1958.1197312939019</v>
      </c>
      <c r="F38" s="57">
        <v>1600.1622</v>
      </c>
      <c r="G38" s="57">
        <v>1958.1197312939019</v>
      </c>
    </row>
    <row r="39" spans="1:7" ht="11.25" customHeight="1" x14ac:dyDescent="0.2">
      <c r="A39" s="67">
        <v>44562</v>
      </c>
      <c r="B39" s="57">
        <v>0</v>
      </c>
      <c r="C39" s="57">
        <v>1740.8358000000001</v>
      </c>
      <c r="D39" s="57">
        <v>0</v>
      </c>
      <c r="E39" s="57">
        <v>2130.2621252538056</v>
      </c>
      <c r="F39" s="57">
        <v>1740.8358000000001</v>
      </c>
      <c r="G39" s="57">
        <v>2130.2621252538056</v>
      </c>
    </row>
    <row r="40" spans="1:7" ht="11.25" customHeight="1" x14ac:dyDescent="0.2">
      <c r="A40" s="67">
        <v>44593</v>
      </c>
      <c r="B40" s="57">
        <v>0</v>
      </c>
      <c r="C40" s="57">
        <v>1969.4304</v>
      </c>
      <c r="D40" s="57">
        <v>0</v>
      </c>
      <c r="E40" s="57">
        <v>2409.9935154386485</v>
      </c>
      <c r="F40" s="57">
        <v>1969.4304</v>
      </c>
      <c r="G40" s="57">
        <v>2409.9935154386485</v>
      </c>
    </row>
    <row r="41" spans="1:7" ht="11.25" customHeight="1" x14ac:dyDescent="0.2">
      <c r="A41" s="67">
        <v>44621</v>
      </c>
      <c r="B41" s="57">
        <v>0</v>
      </c>
      <c r="C41" s="57">
        <v>4466.3868000000002</v>
      </c>
      <c r="D41" s="57">
        <v>0</v>
      </c>
      <c r="E41" s="57">
        <v>5465.521008226935</v>
      </c>
      <c r="F41" s="57">
        <v>4466.3868000000002</v>
      </c>
      <c r="G41" s="57">
        <v>5465.521008226935</v>
      </c>
    </row>
    <row r="42" spans="1:7" ht="11.25" customHeight="1" x14ac:dyDescent="0.2">
      <c r="A42" s="63" t="s">
        <v>30</v>
      </c>
      <c r="B42" s="57">
        <v>0</v>
      </c>
      <c r="C42" s="57">
        <v>27079.552500000005</v>
      </c>
      <c r="D42" s="57">
        <v>0</v>
      </c>
      <c r="E42" s="57">
        <v>33137.410837281415</v>
      </c>
      <c r="F42" s="57">
        <v>27079.552500000005</v>
      </c>
      <c r="G42" s="57">
        <v>33137.410837281415</v>
      </c>
    </row>
    <row r="43" spans="1:7" ht="11.25" customHeight="1" x14ac:dyDescent="0.2">
      <c r="A43" s="64" t="s">
        <v>25</v>
      </c>
      <c r="B43" s="57">
        <v>0</v>
      </c>
      <c r="C43" s="57">
        <v>27079.552500000005</v>
      </c>
      <c r="D43" s="57">
        <v>0</v>
      </c>
      <c r="E43" s="57">
        <v>33137.410837281415</v>
      </c>
      <c r="F43" s="57">
        <v>27079.552500000005</v>
      </c>
      <c r="G43" s="57">
        <v>33137.410837281415</v>
      </c>
    </row>
    <row r="44" spans="1:7" ht="11.25" customHeight="1" x14ac:dyDescent="0.2">
      <c r="A44" s="65" t="s">
        <v>25</v>
      </c>
      <c r="B44" s="57">
        <v>0</v>
      </c>
      <c r="C44" s="57">
        <v>27079.552500000005</v>
      </c>
      <c r="D44" s="57">
        <v>0</v>
      </c>
      <c r="E44" s="57">
        <v>33137.410837281415</v>
      </c>
      <c r="F44" s="57">
        <v>27079.552500000005</v>
      </c>
      <c r="G44" s="57">
        <v>33137.410837281415</v>
      </c>
    </row>
    <row r="45" spans="1:7" ht="11.25" customHeight="1" x14ac:dyDescent="0.2">
      <c r="A45" s="66" t="s">
        <v>25</v>
      </c>
      <c r="B45" s="57">
        <v>0</v>
      </c>
      <c r="C45" s="57">
        <v>27079.552500000005</v>
      </c>
      <c r="D45" s="57">
        <v>0</v>
      </c>
      <c r="E45" s="57">
        <v>33137.410837281415</v>
      </c>
      <c r="F45" s="57">
        <v>27079.552500000005</v>
      </c>
      <c r="G45" s="57">
        <v>33137.410837281415</v>
      </c>
    </row>
    <row r="46" spans="1:7" ht="11.25" customHeight="1" x14ac:dyDescent="0.2">
      <c r="A46" s="67">
        <v>44287</v>
      </c>
      <c r="B46" s="57">
        <v>0</v>
      </c>
      <c r="C46" s="57">
        <v>1489.6909999999998</v>
      </c>
      <c r="D46" s="57">
        <v>0</v>
      </c>
      <c r="E46" s="57">
        <v>1822.9438129600032</v>
      </c>
      <c r="F46" s="57">
        <v>1489.6909999999998</v>
      </c>
      <c r="G46" s="57">
        <v>1822.9438129600032</v>
      </c>
    </row>
    <row r="47" spans="1:7" ht="11.25" customHeight="1" x14ac:dyDescent="0.2">
      <c r="A47" s="67">
        <v>44317</v>
      </c>
      <c r="B47" s="57">
        <v>0</v>
      </c>
      <c r="C47" s="57">
        <v>1590.6869999999999</v>
      </c>
      <c r="D47" s="57">
        <v>0</v>
      </c>
      <c r="E47" s="57">
        <v>1946.5332240081391</v>
      </c>
      <c r="F47" s="57">
        <v>1590.6869999999999</v>
      </c>
      <c r="G47" s="57">
        <v>1946.5332240081391</v>
      </c>
    </row>
    <row r="48" spans="1:7" ht="11.25" customHeight="1" x14ac:dyDescent="0.2">
      <c r="A48" s="67">
        <v>44348</v>
      </c>
      <c r="B48" s="57">
        <v>0</v>
      </c>
      <c r="C48" s="57">
        <v>1685.9118000000001</v>
      </c>
      <c r="D48" s="57">
        <v>0</v>
      </c>
      <c r="E48" s="57">
        <v>2063.0603829963816</v>
      </c>
      <c r="F48" s="57">
        <v>1685.9118000000001</v>
      </c>
      <c r="G48" s="57">
        <v>2063.0603829963816</v>
      </c>
    </row>
    <row r="49" spans="1:7" ht="11.25" customHeight="1" x14ac:dyDescent="0.2">
      <c r="A49" s="67">
        <v>44378</v>
      </c>
      <c r="B49" s="57">
        <v>0</v>
      </c>
      <c r="C49" s="57">
        <v>1675.4514999999999</v>
      </c>
      <c r="D49" s="57">
        <v>0</v>
      </c>
      <c r="E49" s="57">
        <v>2050.2600511378241</v>
      </c>
      <c r="F49" s="57">
        <v>1675.4514999999999</v>
      </c>
      <c r="G49" s="57">
        <v>2050.2600511378241</v>
      </c>
    </row>
    <row r="50" spans="1:7" ht="11.25" customHeight="1" x14ac:dyDescent="0.2">
      <c r="A50" s="67">
        <v>44409</v>
      </c>
      <c r="B50" s="57">
        <v>0</v>
      </c>
      <c r="C50" s="57">
        <v>1731.3600000000001</v>
      </c>
      <c r="D50" s="57">
        <v>0</v>
      </c>
      <c r="E50" s="57">
        <v>2118.6756179680428</v>
      </c>
      <c r="F50" s="57">
        <v>1731.3600000000001</v>
      </c>
      <c r="G50" s="57">
        <v>2118.6756179680428</v>
      </c>
    </row>
    <row r="51" spans="1:7" ht="11.25" customHeight="1" x14ac:dyDescent="0.2">
      <c r="A51" s="67">
        <v>44440</v>
      </c>
      <c r="B51" s="57">
        <v>0</v>
      </c>
      <c r="C51" s="57">
        <v>1871.6723</v>
      </c>
      <c r="D51" s="57">
        <v>0</v>
      </c>
      <c r="E51" s="57">
        <v>2290.3766211742027</v>
      </c>
      <c r="F51" s="57">
        <v>1871.6723</v>
      </c>
      <c r="G51" s="57">
        <v>2290.3766211742027</v>
      </c>
    </row>
    <row r="52" spans="1:7" ht="11.25" customHeight="1" x14ac:dyDescent="0.2">
      <c r="A52" s="67">
        <v>44470</v>
      </c>
      <c r="B52" s="57">
        <v>0</v>
      </c>
      <c r="C52" s="57">
        <v>2010.9024999999999</v>
      </c>
      <c r="D52" s="57">
        <v>0</v>
      </c>
      <c r="E52" s="57">
        <v>2460.7534521191328</v>
      </c>
      <c r="F52" s="57">
        <v>2010.9024999999999</v>
      </c>
      <c r="G52" s="57">
        <v>2460.7534521191328</v>
      </c>
    </row>
    <row r="53" spans="1:7" ht="11.25" customHeight="1" x14ac:dyDescent="0.2">
      <c r="A53" s="67">
        <v>44501</v>
      </c>
      <c r="B53" s="57">
        <v>0</v>
      </c>
      <c r="C53" s="57">
        <v>2132.8191000000002</v>
      </c>
      <c r="D53" s="57">
        <v>0</v>
      </c>
      <c r="E53" s="57">
        <v>2609.9435268843827</v>
      </c>
      <c r="F53" s="57">
        <v>2132.8191000000002</v>
      </c>
      <c r="G53" s="57">
        <v>2609.9435268843827</v>
      </c>
    </row>
    <row r="54" spans="1:7" ht="11.25" customHeight="1" x14ac:dyDescent="0.2">
      <c r="A54" s="67">
        <v>44531</v>
      </c>
      <c r="B54" s="57">
        <v>0</v>
      </c>
      <c r="C54" s="57">
        <v>2210.0088999999998</v>
      </c>
      <c r="D54" s="57">
        <v>0</v>
      </c>
      <c r="E54" s="57">
        <v>2704.4011481854577</v>
      </c>
      <c r="F54" s="57">
        <v>2210.0088999999998</v>
      </c>
      <c r="G54" s="57">
        <v>2704.4011481854577</v>
      </c>
    </row>
    <row r="55" spans="1:7" ht="11.25" customHeight="1" x14ac:dyDescent="0.2">
      <c r="A55" s="67">
        <v>44562</v>
      </c>
      <c r="B55" s="57">
        <v>0</v>
      </c>
      <c r="C55" s="57">
        <v>2408.0331999999999</v>
      </c>
      <c r="D55" s="57">
        <v>0</v>
      </c>
      <c r="E55" s="57">
        <v>2946.7246719905525</v>
      </c>
      <c r="F55" s="57">
        <v>2408.0331999999999</v>
      </c>
      <c r="G55" s="57">
        <v>2946.7246719905525</v>
      </c>
    </row>
    <row r="56" spans="1:7" ht="11.25" customHeight="1" x14ac:dyDescent="0.2">
      <c r="A56" s="67">
        <v>44593</v>
      </c>
      <c r="B56" s="57">
        <v>0</v>
      </c>
      <c r="C56" s="57">
        <v>2694.7896999999998</v>
      </c>
      <c r="D56" s="57">
        <v>0</v>
      </c>
      <c r="E56" s="57">
        <v>3297.6303212165099</v>
      </c>
      <c r="F56" s="57">
        <v>2694.7896999999998</v>
      </c>
      <c r="G56" s="57">
        <v>3297.6303212165099</v>
      </c>
    </row>
    <row r="57" spans="1:7" ht="11.25" customHeight="1" x14ac:dyDescent="0.2">
      <c r="A57" s="67">
        <v>44621</v>
      </c>
      <c r="B57" s="57">
        <v>0</v>
      </c>
      <c r="C57" s="57">
        <v>5578.2254999999996</v>
      </c>
      <c r="D57" s="57">
        <v>0</v>
      </c>
      <c r="E57" s="57">
        <v>6826.1080066407867</v>
      </c>
      <c r="F57" s="57">
        <v>5578.2254999999996</v>
      </c>
      <c r="G57" s="57">
        <v>6826.1080066407867</v>
      </c>
    </row>
    <row r="58" spans="1:7" ht="11.25" customHeight="1" x14ac:dyDescent="0.2">
      <c r="A58" s="63" t="s">
        <v>31</v>
      </c>
      <c r="B58" s="57">
        <v>0</v>
      </c>
      <c r="C58" s="57">
        <v>5840.2371599999997</v>
      </c>
      <c r="D58" s="57">
        <v>0</v>
      </c>
      <c r="E58" s="57">
        <v>7146.3369984815736</v>
      </c>
      <c r="F58" s="57">
        <v>5840.2371599999997</v>
      </c>
      <c r="G58" s="57">
        <v>7146.3369984815736</v>
      </c>
    </row>
    <row r="59" spans="1:7" ht="11.25" customHeight="1" x14ac:dyDescent="0.2">
      <c r="A59" s="64" t="s">
        <v>25</v>
      </c>
      <c r="B59" s="57">
        <v>0</v>
      </c>
      <c r="C59" s="57">
        <v>5840.2371599999997</v>
      </c>
      <c r="D59" s="57">
        <v>0</v>
      </c>
      <c r="E59" s="57">
        <v>7146.3369984815736</v>
      </c>
      <c r="F59" s="57">
        <v>5840.2371599999997</v>
      </c>
      <c r="G59" s="57">
        <v>7146.3369984815736</v>
      </c>
    </row>
    <row r="60" spans="1:7" ht="11.25" customHeight="1" x14ac:dyDescent="0.2">
      <c r="A60" s="65" t="s">
        <v>25</v>
      </c>
      <c r="B60" s="57">
        <v>0</v>
      </c>
      <c r="C60" s="57">
        <v>5840.2371599999997</v>
      </c>
      <c r="D60" s="57">
        <v>0</v>
      </c>
      <c r="E60" s="57">
        <v>7146.3369984815736</v>
      </c>
      <c r="F60" s="57">
        <v>5840.2371599999997</v>
      </c>
      <c r="G60" s="57">
        <v>7146.3369984815736</v>
      </c>
    </row>
    <row r="61" spans="1:7" ht="11.25" customHeight="1" x14ac:dyDescent="0.2">
      <c r="A61" s="66" t="s">
        <v>25</v>
      </c>
      <c r="B61" s="57">
        <v>0</v>
      </c>
      <c r="C61" s="57">
        <v>5840.2371599999997</v>
      </c>
      <c r="D61" s="57">
        <v>0</v>
      </c>
      <c r="E61" s="57">
        <v>7146.3369984815736</v>
      </c>
      <c r="F61" s="57">
        <v>5840.2371599999997</v>
      </c>
      <c r="G61" s="57">
        <v>7146.3369984815736</v>
      </c>
    </row>
    <row r="62" spans="1:7" ht="11.25" customHeight="1" x14ac:dyDescent="0.2">
      <c r="A62" s="67">
        <v>44287</v>
      </c>
      <c r="B62" s="57">
        <v>0</v>
      </c>
      <c r="C62" s="57">
        <v>353.68596000000002</v>
      </c>
      <c r="D62" s="57">
        <v>0</v>
      </c>
      <c r="E62" s="57">
        <v>432.7836340453465</v>
      </c>
      <c r="F62" s="57">
        <v>353.68596000000002</v>
      </c>
      <c r="G62" s="57">
        <v>432.7836340453465</v>
      </c>
    </row>
    <row r="63" spans="1:7" ht="11.25" customHeight="1" x14ac:dyDescent="0.2">
      <c r="A63" s="67">
        <v>44317</v>
      </c>
      <c r="B63" s="57">
        <v>0</v>
      </c>
      <c r="C63" s="57">
        <v>354.22704000000004</v>
      </c>
      <c r="D63" s="57">
        <v>0</v>
      </c>
      <c r="E63" s="57">
        <v>433.44572017596147</v>
      </c>
      <c r="F63" s="57">
        <v>354.22704000000004</v>
      </c>
      <c r="G63" s="57">
        <v>433.44572017596147</v>
      </c>
    </row>
    <row r="64" spans="1:7" ht="11.25" customHeight="1" x14ac:dyDescent="0.2">
      <c r="A64" s="67">
        <v>44348</v>
      </c>
      <c r="B64" s="57">
        <v>0</v>
      </c>
      <c r="C64" s="57">
        <v>354.94848000000002</v>
      </c>
      <c r="D64" s="57">
        <v>0</v>
      </c>
      <c r="E64" s="57">
        <v>434.32850168344817</v>
      </c>
      <c r="F64" s="57">
        <v>354.94848000000002</v>
      </c>
      <c r="G64" s="57">
        <v>434.32850168344817</v>
      </c>
    </row>
    <row r="65" spans="1:7" ht="11.25" customHeight="1" x14ac:dyDescent="0.2">
      <c r="A65" s="67">
        <v>44378</v>
      </c>
      <c r="B65" s="57">
        <v>0</v>
      </c>
      <c r="C65" s="57">
        <v>315.99072000000001</v>
      </c>
      <c r="D65" s="57">
        <v>0</v>
      </c>
      <c r="E65" s="57">
        <v>386.65830027916729</v>
      </c>
      <c r="F65" s="57">
        <v>315.99072000000001</v>
      </c>
      <c r="G65" s="57">
        <v>386.65830027916729</v>
      </c>
    </row>
    <row r="66" spans="1:7" ht="11.25" customHeight="1" x14ac:dyDescent="0.2">
      <c r="A66" s="67">
        <v>44409</v>
      </c>
      <c r="B66" s="57">
        <v>0</v>
      </c>
      <c r="C66" s="57">
        <v>351.97254000000004</v>
      </c>
      <c r="D66" s="57">
        <v>0</v>
      </c>
      <c r="E66" s="57">
        <v>430.68702796506562</v>
      </c>
      <c r="F66" s="57">
        <v>351.97254000000004</v>
      </c>
      <c r="G66" s="57">
        <v>430.68702796506562</v>
      </c>
    </row>
    <row r="67" spans="1:7" ht="11.25" customHeight="1" x14ac:dyDescent="0.2">
      <c r="A67" s="67">
        <v>44440</v>
      </c>
      <c r="B67" s="57">
        <v>0</v>
      </c>
      <c r="C67" s="57">
        <v>435.83994000000007</v>
      </c>
      <c r="D67" s="57">
        <v>0</v>
      </c>
      <c r="E67" s="57">
        <v>533.31037821039251</v>
      </c>
      <c r="F67" s="57">
        <v>435.83994000000007</v>
      </c>
      <c r="G67" s="57">
        <v>533.31037821039251</v>
      </c>
    </row>
    <row r="68" spans="1:7" ht="11.25" customHeight="1" x14ac:dyDescent="0.2">
      <c r="A68" s="67">
        <v>44470</v>
      </c>
      <c r="B68" s="57">
        <v>0</v>
      </c>
      <c r="C68" s="57">
        <v>435.02832000000001</v>
      </c>
      <c r="D68" s="57">
        <v>0</v>
      </c>
      <c r="E68" s="57">
        <v>532.31724901447001</v>
      </c>
      <c r="F68" s="57">
        <v>435.02832000000001</v>
      </c>
      <c r="G68" s="57">
        <v>532.31724901447001</v>
      </c>
    </row>
    <row r="69" spans="1:7" ht="11.25" customHeight="1" x14ac:dyDescent="0.2">
      <c r="A69" s="67">
        <v>44501</v>
      </c>
      <c r="B69" s="57">
        <v>0</v>
      </c>
      <c r="C69" s="57">
        <v>422.40312000000006</v>
      </c>
      <c r="D69" s="57">
        <v>0</v>
      </c>
      <c r="E69" s="57">
        <v>516.86857263345303</v>
      </c>
      <c r="F69" s="57">
        <v>422.40312000000006</v>
      </c>
      <c r="G69" s="57">
        <v>516.86857263345303</v>
      </c>
    </row>
    <row r="70" spans="1:7" ht="11.25" customHeight="1" x14ac:dyDescent="0.2">
      <c r="A70" s="67">
        <v>44531</v>
      </c>
      <c r="B70" s="57">
        <v>0</v>
      </c>
      <c r="C70" s="57">
        <v>489.94794000000002</v>
      </c>
      <c r="D70" s="57">
        <v>0</v>
      </c>
      <c r="E70" s="57">
        <v>599.51899127189381</v>
      </c>
      <c r="F70" s="57">
        <v>489.94794000000002</v>
      </c>
      <c r="G70" s="57">
        <v>599.51899127189381</v>
      </c>
    </row>
    <row r="71" spans="1:7" ht="11.25" customHeight="1" x14ac:dyDescent="0.2">
      <c r="A71" s="67">
        <v>44562</v>
      </c>
      <c r="B71" s="57">
        <v>0</v>
      </c>
      <c r="C71" s="57">
        <v>555.14808000000005</v>
      </c>
      <c r="D71" s="57">
        <v>0</v>
      </c>
      <c r="E71" s="57">
        <v>679.30037001100277</v>
      </c>
      <c r="F71" s="57">
        <v>555.14808000000005</v>
      </c>
      <c r="G71" s="57">
        <v>679.30037001100277</v>
      </c>
    </row>
    <row r="72" spans="1:7" ht="11.25" customHeight="1" x14ac:dyDescent="0.2">
      <c r="A72" s="67">
        <v>44593</v>
      </c>
      <c r="B72" s="57">
        <v>0</v>
      </c>
      <c r="C72" s="57">
        <v>615.20796000000007</v>
      </c>
      <c r="D72" s="57">
        <v>0</v>
      </c>
      <c r="E72" s="57">
        <v>752.79193050926915</v>
      </c>
      <c r="F72" s="57">
        <v>615.20796000000007</v>
      </c>
      <c r="G72" s="57">
        <v>752.79193050926915</v>
      </c>
    </row>
    <row r="73" spans="1:7" ht="11.25" customHeight="1" x14ac:dyDescent="0.2">
      <c r="A73" s="67">
        <v>44621</v>
      </c>
      <c r="B73" s="57">
        <v>0</v>
      </c>
      <c r="C73" s="57">
        <v>1155.8370600000001</v>
      </c>
      <c r="D73" s="57">
        <v>0</v>
      </c>
      <c r="E73" s="57">
        <v>1414.3263226821025</v>
      </c>
      <c r="F73" s="57">
        <v>1155.8370600000001</v>
      </c>
      <c r="G73" s="57">
        <v>1414.3263226821025</v>
      </c>
    </row>
    <row r="74" spans="1:7" ht="11.25" customHeight="1" x14ac:dyDescent="0.2">
      <c r="A74" s="63" t="s">
        <v>32</v>
      </c>
      <c r="B74" s="57">
        <v>0</v>
      </c>
      <c r="C74" s="57">
        <v>6.5125504988827747E-13</v>
      </c>
      <c r="D74" s="57">
        <v>0</v>
      </c>
      <c r="E74" s="57">
        <v>-2.6050201995531099E-12</v>
      </c>
      <c r="F74" s="57">
        <v>6.5125504988827747E-13</v>
      </c>
      <c r="G74" s="57">
        <v>-2.6050201995531099E-12</v>
      </c>
    </row>
    <row r="75" spans="1:7" ht="11.25" customHeight="1" x14ac:dyDescent="0.2">
      <c r="A75" s="64" t="s">
        <v>25</v>
      </c>
      <c r="B75" s="57">
        <v>0</v>
      </c>
      <c r="C75" s="57">
        <v>6.5125504988827747E-13</v>
      </c>
      <c r="D75" s="57">
        <v>0</v>
      </c>
      <c r="E75" s="57">
        <v>-2.6050201995531099E-12</v>
      </c>
      <c r="F75" s="57">
        <v>6.5125504988827747E-13</v>
      </c>
      <c r="G75" s="57">
        <v>-2.6050201995531099E-12</v>
      </c>
    </row>
    <row r="76" spans="1:7" ht="11.25" customHeight="1" x14ac:dyDescent="0.2">
      <c r="A76" s="65" t="s">
        <v>25</v>
      </c>
      <c r="B76" s="57">
        <v>0</v>
      </c>
      <c r="C76" s="57">
        <v>6.5125504988827747E-13</v>
      </c>
      <c r="D76" s="57">
        <v>0</v>
      </c>
      <c r="E76" s="57">
        <v>-2.6050201995531099E-12</v>
      </c>
      <c r="F76" s="57">
        <v>6.5125504988827747E-13</v>
      </c>
      <c r="G76" s="57">
        <v>-2.6050201995531099E-12</v>
      </c>
    </row>
    <row r="77" spans="1:7" ht="11.25" customHeight="1" x14ac:dyDescent="0.2">
      <c r="A77" s="66" t="s">
        <v>25</v>
      </c>
      <c r="B77" s="57">
        <v>0</v>
      </c>
      <c r="C77" s="57">
        <v>6.5125504988827747E-13</v>
      </c>
      <c r="D77" s="57">
        <v>0</v>
      </c>
      <c r="E77" s="57">
        <v>-2.6050201995531099E-12</v>
      </c>
      <c r="F77" s="57">
        <v>6.5125504988827747E-13</v>
      </c>
      <c r="G77" s="57">
        <v>-2.6050201995531099E-12</v>
      </c>
    </row>
    <row r="78" spans="1:7" ht="11.25" customHeight="1" x14ac:dyDescent="0.2">
      <c r="A78" s="67">
        <v>44287</v>
      </c>
      <c r="B78" s="57">
        <v>0</v>
      </c>
      <c r="C78" s="57">
        <v>4.9823256631498222E-14</v>
      </c>
      <c r="D78" s="57">
        <v>0</v>
      </c>
      <c r="E78" s="57">
        <v>-1.9929302652599289E-13</v>
      </c>
      <c r="F78" s="57">
        <v>4.9823256631498222E-14</v>
      </c>
      <c r="G78" s="57">
        <v>-1.9929302652599289E-13</v>
      </c>
    </row>
    <row r="79" spans="1:7" ht="11.25" customHeight="1" x14ac:dyDescent="0.2">
      <c r="A79" s="67">
        <v>44317</v>
      </c>
      <c r="B79" s="57">
        <v>0</v>
      </c>
      <c r="C79" s="57">
        <v>3.7061909097246827E-14</v>
      </c>
      <c r="D79" s="57">
        <v>0</v>
      </c>
      <c r="E79" s="57">
        <v>-1.4824763638898731E-13</v>
      </c>
      <c r="F79" s="57">
        <v>3.7061909097246827E-14</v>
      </c>
      <c r="G79" s="57">
        <v>-1.4824763638898731E-13</v>
      </c>
    </row>
    <row r="80" spans="1:7" ht="11.25" customHeight="1" x14ac:dyDescent="0.2">
      <c r="A80" s="67">
        <v>44348</v>
      </c>
      <c r="B80" s="57">
        <v>0</v>
      </c>
      <c r="C80" s="57">
        <v>3.461764208623208E-14</v>
      </c>
      <c r="D80" s="57">
        <v>0</v>
      </c>
      <c r="E80" s="57">
        <v>-1.3847056834492832E-13</v>
      </c>
      <c r="F80" s="57">
        <v>3.461764208623208E-14</v>
      </c>
      <c r="G80" s="57">
        <v>-1.3847056834492832E-13</v>
      </c>
    </row>
    <row r="81" spans="1:7" ht="11.25" customHeight="1" x14ac:dyDescent="0.2">
      <c r="A81" s="67">
        <v>44378</v>
      </c>
      <c r="B81" s="57">
        <v>0</v>
      </c>
      <c r="C81" s="57">
        <v>3.8937741919653493E-14</v>
      </c>
      <c r="D81" s="57">
        <v>0</v>
      </c>
      <c r="E81" s="57">
        <v>-1.5575096767861397E-13</v>
      </c>
      <c r="F81" s="57">
        <v>3.8937741919653493E-14</v>
      </c>
      <c r="G81" s="57">
        <v>-1.5575096767861397E-13</v>
      </c>
    </row>
    <row r="82" spans="1:7" ht="11.25" customHeight="1" x14ac:dyDescent="0.2">
      <c r="A82" s="67">
        <v>44409</v>
      </c>
      <c r="B82" s="57">
        <v>0</v>
      </c>
      <c r="C82" s="57">
        <v>4.8089532356243579E-14</v>
      </c>
      <c r="D82" s="57">
        <v>0</v>
      </c>
      <c r="E82" s="57">
        <v>-1.9235812942497432E-13</v>
      </c>
      <c r="F82" s="57">
        <v>4.8089532356243579E-14</v>
      </c>
      <c r="G82" s="57">
        <v>-1.9235812942497432E-13</v>
      </c>
    </row>
    <row r="83" spans="1:7" ht="11.25" customHeight="1" x14ac:dyDescent="0.2">
      <c r="A83" s="67">
        <v>44440</v>
      </c>
      <c r="B83" s="57">
        <v>0</v>
      </c>
      <c r="C83" s="57">
        <v>4.6554760047001761E-14</v>
      </c>
      <c r="D83" s="57">
        <v>0</v>
      </c>
      <c r="E83" s="57">
        <v>-1.8621904018800705E-13</v>
      </c>
      <c r="F83" s="57">
        <v>4.6554760047001761E-14</v>
      </c>
      <c r="G83" s="57">
        <v>-1.8621904018800705E-13</v>
      </c>
    </row>
    <row r="84" spans="1:7" ht="11.25" customHeight="1" x14ac:dyDescent="0.2">
      <c r="A84" s="67">
        <v>44470</v>
      </c>
      <c r="B84" s="57">
        <v>0</v>
      </c>
      <c r="C84" s="57">
        <v>4.9311665861750956E-14</v>
      </c>
      <c r="D84" s="57">
        <v>0</v>
      </c>
      <c r="E84" s="57">
        <v>-1.9724666344700382E-13</v>
      </c>
      <c r="F84" s="57">
        <v>4.9311665861750956E-14</v>
      </c>
      <c r="G84" s="57">
        <v>-1.9724666344700382E-13</v>
      </c>
    </row>
    <row r="85" spans="1:7" ht="11.25" customHeight="1" x14ac:dyDescent="0.2">
      <c r="A85" s="67">
        <v>44501</v>
      </c>
      <c r="B85" s="57">
        <v>0</v>
      </c>
      <c r="C85" s="57">
        <v>4.1268322092946618E-14</v>
      </c>
      <c r="D85" s="57">
        <v>0</v>
      </c>
      <c r="E85" s="57">
        <v>-1.6507328837178647E-13</v>
      </c>
      <c r="F85" s="57">
        <v>4.1268322092946618E-14</v>
      </c>
      <c r="G85" s="57">
        <v>-1.6507328837178647E-13</v>
      </c>
    </row>
    <row r="86" spans="1:7" ht="11.25" customHeight="1" x14ac:dyDescent="0.2">
      <c r="A86" s="67">
        <v>44531</v>
      </c>
      <c r="B86" s="57">
        <v>0</v>
      </c>
      <c r="C86" s="57">
        <v>5.1016968427575191E-14</v>
      </c>
      <c r="D86" s="57">
        <v>0</v>
      </c>
      <c r="E86" s="57">
        <v>-2.0406787371030077E-13</v>
      </c>
      <c r="F86" s="57">
        <v>5.1016968427575191E-14</v>
      </c>
      <c r="G86" s="57">
        <v>-2.0406787371030077E-13</v>
      </c>
    </row>
    <row r="87" spans="1:7" ht="11.25" customHeight="1" x14ac:dyDescent="0.2">
      <c r="A87" s="67">
        <v>44562</v>
      </c>
      <c r="B87" s="57">
        <v>0</v>
      </c>
      <c r="C87" s="57">
        <v>6.0111915445304482E-14</v>
      </c>
      <c r="D87" s="57">
        <v>0</v>
      </c>
      <c r="E87" s="57">
        <v>-2.4044766178121793E-13</v>
      </c>
      <c r="F87" s="57">
        <v>6.0111915445304482E-14</v>
      </c>
      <c r="G87" s="57">
        <v>-2.4044766178121793E-13</v>
      </c>
    </row>
    <row r="88" spans="1:7" ht="11.25" customHeight="1" x14ac:dyDescent="0.2">
      <c r="A88" s="67">
        <v>44593</v>
      </c>
      <c r="B88" s="57">
        <v>0</v>
      </c>
      <c r="C88" s="57">
        <v>7.2873262979555877E-14</v>
      </c>
      <c r="D88" s="57">
        <v>0</v>
      </c>
      <c r="E88" s="57">
        <v>-2.9149305191822351E-13</v>
      </c>
      <c r="F88" s="57">
        <v>7.2873262979555877E-14</v>
      </c>
      <c r="G88" s="57">
        <v>-2.9149305191822351E-13</v>
      </c>
    </row>
    <row r="89" spans="1:7" ht="11.25" customHeight="1" x14ac:dyDescent="0.2">
      <c r="A89" s="67">
        <v>44621</v>
      </c>
      <c r="B89" s="57">
        <v>0</v>
      </c>
      <c r="C89" s="57">
        <v>1.2158807294326833E-13</v>
      </c>
      <c r="D89" s="57">
        <v>0</v>
      </c>
      <c r="E89" s="57">
        <v>-4.8635229177307333E-13</v>
      </c>
      <c r="F89" s="57">
        <v>1.2158807294326833E-13</v>
      </c>
      <c r="G89" s="57">
        <v>-4.8635229177307333E-13</v>
      </c>
    </row>
    <row r="90" spans="1:7" ht="11.25" customHeight="1" x14ac:dyDescent="0.2">
      <c r="A90" s="59" t="s">
        <v>544</v>
      </c>
      <c r="B90" s="57">
        <v>2123.2000000000003</v>
      </c>
      <c r="C90" s="57">
        <v>189241.52902080002</v>
      </c>
      <c r="D90" s="57">
        <v>2715.3977241327998</v>
      </c>
      <c r="E90" s="57">
        <v>229446.41752478358</v>
      </c>
      <c r="F90" s="57">
        <v>191364.72902080009</v>
      </c>
      <c r="G90" s="57">
        <v>232161.81524891639</v>
      </c>
    </row>
    <row r="91" spans="1:7" ht="11.25" customHeight="1" x14ac:dyDescent="0.2">
      <c r="A91" s="60" t="s">
        <v>36</v>
      </c>
      <c r="B91" s="57">
        <v>2123.2000000000003</v>
      </c>
      <c r="C91" s="57">
        <v>2680.9942208000007</v>
      </c>
      <c r="D91" s="57">
        <v>2715.3977241327998</v>
      </c>
      <c r="E91" s="57">
        <v>2972.6006824989236</v>
      </c>
      <c r="F91" s="57">
        <v>4804.1942208000009</v>
      </c>
      <c r="G91" s="57">
        <v>5687.9984066317229</v>
      </c>
    </row>
    <row r="92" spans="1:7" ht="11.25" customHeight="1" x14ac:dyDescent="0.2">
      <c r="A92" s="61" t="s">
        <v>37</v>
      </c>
      <c r="B92" s="57">
        <v>2123.2000000000003</v>
      </c>
      <c r="C92" s="57">
        <v>2680.9942208000007</v>
      </c>
      <c r="D92" s="57">
        <v>2715.3977241327998</v>
      </c>
      <c r="E92" s="57">
        <v>2972.6006824989236</v>
      </c>
      <c r="F92" s="57">
        <v>4804.1942208000009</v>
      </c>
      <c r="G92" s="57">
        <v>5687.9984066317229</v>
      </c>
    </row>
    <row r="93" spans="1:7" ht="11.25" customHeight="1" x14ac:dyDescent="0.2">
      <c r="A93" s="62" t="s">
        <v>41</v>
      </c>
      <c r="B93" s="57">
        <v>2123.2000000000003</v>
      </c>
      <c r="C93" s="57">
        <v>2680.9942208000007</v>
      </c>
      <c r="D93" s="57">
        <v>2715.3977241327998</v>
      </c>
      <c r="E93" s="57">
        <v>2972.6006824989236</v>
      </c>
      <c r="F93" s="57">
        <v>4804.1942208000009</v>
      </c>
      <c r="G93" s="57">
        <v>5687.9984066317229</v>
      </c>
    </row>
    <row r="94" spans="1:7" ht="11.25" customHeight="1" x14ac:dyDescent="0.2">
      <c r="A94" s="63" t="s">
        <v>25</v>
      </c>
      <c r="B94" s="57">
        <v>2123.2000000000003</v>
      </c>
      <c r="C94" s="57">
        <v>2680.9942208000007</v>
      </c>
      <c r="D94" s="57">
        <v>2715.3977241327998</v>
      </c>
      <c r="E94" s="57">
        <v>2972.6006824989236</v>
      </c>
      <c r="F94" s="57">
        <v>4804.1942208000009</v>
      </c>
      <c r="G94" s="57">
        <v>5687.9984066317229</v>
      </c>
    </row>
    <row r="95" spans="1:7" ht="11.25" customHeight="1" x14ac:dyDescent="0.2">
      <c r="A95" s="64" t="s">
        <v>25</v>
      </c>
      <c r="B95" s="57">
        <v>2123.2000000000003</v>
      </c>
      <c r="C95" s="57">
        <v>2680.9942208000007</v>
      </c>
      <c r="D95" s="57">
        <v>2715.3977241327998</v>
      </c>
      <c r="E95" s="57">
        <v>2972.6006824989236</v>
      </c>
      <c r="F95" s="57">
        <v>4804.1942208000009</v>
      </c>
      <c r="G95" s="57">
        <v>5687.9984066317229</v>
      </c>
    </row>
    <row r="96" spans="1:7" ht="11.25" customHeight="1" x14ac:dyDescent="0.2">
      <c r="A96" s="65" t="s">
        <v>25</v>
      </c>
      <c r="B96" s="57">
        <v>2123.2000000000003</v>
      </c>
      <c r="C96" s="57">
        <v>2680.9942208000007</v>
      </c>
      <c r="D96" s="57">
        <v>2715.3977241327998</v>
      </c>
      <c r="E96" s="57">
        <v>2972.6006824989236</v>
      </c>
      <c r="F96" s="57">
        <v>4804.1942208000009</v>
      </c>
      <c r="G96" s="57">
        <v>5687.9984066317229</v>
      </c>
    </row>
    <row r="97" spans="1:7" ht="11.25" customHeight="1" x14ac:dyDescent="0.2">
      <c r="A97" s="66" t="s">
        <v>39</v>
      </c>
      <c r="B97" s="57">
        <v>0</v>
      </c>
      <c r="C97" s="57">
        <v>2227.2427407999994</v>
      </c>
      <c r="D97" s="57">
        <v>0</v>
      </c>
      <c r="E97" s="57">
        <v>2393.2751394748698</v>
      </c>
      <c r="F97" s="57">
        <v>2227.2427407999994</v>
      </c>
      <c r="G97" s="57">
        <v>2393.2751394748698</v>
      </c>
    </row>
    <row r="98" spans="1:7" ht="11.25" customHeight="1" x14ac:dyDescent="0.2">
      <c r="A98" s="67">
        <v>44287</v>
      </c>
      <c r="B98" s="57">
        <v>0</v>
      </c>
      <c r="C98" s="57">
        <v>330.2820135999998</v>
      </c>
      <c r="D98" s="57">
        <v>0</v>
      </c>
      <c r="E98" s="57">
        <v>354.90327016652793</v>
      </c>
      <c r="F98" s="57">
        <v>330.2820135999998</v>
      </c>
      <c r="G98" s="57">
        <v>354.90327016652793</v>
      </c>
    </row>
    <row r="99" spans="1:7" ht="11.25" customHeight="1" x14ac:dyDescent="0.2">
      <c r="A99" s="67">
        <v>44317</v>
      </c>
      <c r="B99" s="57">
        <v>0</v>
      </c>
      <c r="C99" s="57">
        <v>284.59544960000005</v>
      </c>
      <c r="D99" s="57">
        <v>0</v>
      </c>
      <c r="E99" s="57">
        <v>305.8109481549842</v>
      </c>
      <c r="F99" s="57">
        <v>284.59544960000005</v>
      </c>
      <c r="G99" s="57">
        <v>305.8109481549842</v>
      </c>
    </row>
    <row r="100" spans="1:7" ht="11.25" customHeight="1" x14ac:dyDescent="0.2">
      <c r="A100" s="67">
        <v>44348</v>
      </c>
      <c r="B100" s="57">
        <v>0</v>
      </c>
      <c r="C100" s="57">
        <v>269.60921679999944</v>
      </c>
      <c r="D100" s="57">
        <v>0</v>
      </c>
      <c r="E100" s="57">
        <v>289.70754921350118</v>
      </c>
      <c r="F100" s="57">
        <v>269.60921679999944</v>
      </c>
      <c r="G100" s="57">
        <v>289.70754921350118</v>
      </c>
    </row>
    <row r="101" spans="1:7" ht="11.25" customHeight="1" x14ac:dyDescent="0.2">
      <c r="A101" s="67">
        <v>44378</v>
      </c>
      <c r="B101" s="57">
        <v>0</v>
      </c>
      <c r="C101" s="57">
        <v>246.88941200000062</v>
      </c>
      <c r="D101" s="57">
        <v>0</v>
      </c>
      <c r="E101" s="57">
        <v>265.29407015911306</v>
      </c>
      <c r="F101" s="57">
        <v>246.88941200000062</v>
      </c>
      <c r="G101" s="57">
        <v>265.29407015911306</v>
      </c>
    </row>
    <row r="102" spans="1:7" ht="11.25" customHeight="1" x14ac:dyDescent="0.2">
      <c r="A102" s="67">
        <v>44409</v>
      </c>
      <c r="B102" s="57">
        <v>0</v>
      </c>
      <c r="C102" s="57">
        <v>249.80087440000011</v>
      </c>
      <c r="D102" s="57">
        <v>0</v>
      </c>
      <c r="E102" s="57">
        <v>268.42257090750104</v>
      </c>
      <c r="F102" s="57">
        <v>249.80087440000011</v>
      </c>
      <c r="G102" s="57">
        <v>268.42257090750104</v>
      </c>
    </row>
    <row r="103" spans="1:7" ht="11.25" customHeight="1" x14ac:dyDescent="0.2">
      <c r="A103" s="67">
        <v>44440</v>
      </c>
      <c r="B103" s="57">
        <v>0</v>
      </c>
      <c r="C103" s="57">
        <v>263.20139999999958</v>
      </c>
      <c r="D103" s="57">
        <v>0</v>
      </c>
      <c r="E103" s="57">
        <v>282.82205426280683</v>
      </c>
      <c r="F103" s="57">
        <v>263.20139999999958</v>
      </c>
      <c r="G103" s="57">
        <v>282.82205426280683</v>
      </c>
    </row>
    <row r="104" spans="1:7" ht="11.25" customHeight="1" x14ac:dyDescent="0.2">
      <c r="A104" s="67">
        <v>44470</v>
      </c>
      <c r="B104" s="57">
        <v>0</v>
      </c>
      <c r="C104" s="57">
        <v>279.72134959999983</v>
      </c>
      <c r="D104" s="57">
        <v>0</v>
      </c>
      <c r="E104" s="57">
        <v>300.57350270567275</v>
      </c>
      <c r="F104" s="57">
        <v>279.72134959999983</v>
      </c>
      <c r="G104" s="57">
        <v>300.57350270567275</v>
      </c>
    </row>
    <row r="105" spans="1:7" ht="11.25" customHeight="1" x14ac:dyDescent="0.2">
      <c r="A105" s="67">
        <v>44501</v>
      </c>
      <c r="B105" s="57">
        <v>0</v>
      </c>
      <c r="C105" s="57">
        <v>303.14302479999975</v>
      </c>
      <c r="D105" s="57">
        <v>0</v>
      </c>
      <c r="E105" s="57">
        <v>325.74117390476295</v>
      </c>
      <c r="F105" s="57">
        <v>303.14302479999975</v>
      </c>
      <c r="G105" s="57">
        <v>325.74117390476295</v>
      </c>
    </row>
    <row r="106" spans="1:7" ht="11.25" customHeight="1" x14ac:dyDescent="0.2">
      <c r="A106" s="66" t="s">
        <v>25</v>
      </c>
      <c r="B106" s="57">
        <v>2123.2000000000003</v>
      </c>
      <c r="C106" s="57">
        <v>0</v>
      </c>
      <c r="D106" s="57">
        <v>2715.3977241327998</v>
      </c>
      <c r="E106" s="57">
        <v>0</v>
      </c>
      <c r="F106" s="57">
        <v>2123.2000000000003</v>
      </c>
      <c r="G106" s="57">
        <v>2715.3977241327998</v>
      </c>
    </row>
    <row r="107" spans="1:7" ht="11.25" customHeight="1" x14ac:dyDescent="0.2">
      <c r="A107" s="67">
        <v>44287</v>
      </c>
      <c r="B107" s="57">
        <v>265.39999999999998</v>
      </c>
      <c r="C107" s="57">
        <v>0</v>
      </c>
      <c r="D107" s="57">
        <v>339.42471551659997</v>
      </c>
      <c r="E107" s="57">
        <v>0</v>
      </c>
      <c r="F107" s="57">
        <v>265.39999999999998</v>
      </c>
      <c r="G107" s="57">
        <v>339.42471551659997</v>
      </c>
    </row>
    <row r="108" spans="1:7" ht="11.25" customHeight="1" x14ac:dyDescent="0.2">
      <c r="A108" s="67">
        <v>44317</v>
      </c>
      <c r="B108" s="57">
        <v>265.39999999999998</v>
      </c>
      <c r="C108" s="57">
        <v>0</v>
      </c>
      <c r="D108" s="57">
        <v>339.42471551659997</v>
      </c>
      <c r="E108" s="57">
        <v>0</v>
      </c>
      <c r="F108" s="57">
        <v>265.39999999999998</v>
      </c>
      <c r="G108" s="57">
        <v>339.42471551659997</v>
      </c>
    </row>
    <row r="109" spans="1:7" ht="11.25" customHeight="1" x14ac:dyDescent="0.2">
      <c r="A109" s="67">
        <v>44348</v>
      </c>
      <c r="B109" s="57">
        <v>265.39999999999998</v>
      </c>
      <c r="C109" s="57">
        <v>0</v>
      </c>
      <c r="D109" s="57">
        <v>339.42471551659997</v>
      </c>
      <c r="E109" s="57">
        <v>0</v>
      </c>
      <c r="F109" s="57">
        <v>265.39999999999998</v>
      </c>
      <c r="G109" s="57">
        <v>339.42471551659997</v>
      </c>
    </row>
    <row r="110" spans="1:7" ht="11.25" customHeight="1" x14ac:dyDescent="0.2">
      <c r="A110" s="67">
        <v>44378</v>
      </c>
      <c r="B110" s="57">
        <v>265.39999999999998</v>
      </c>
      <c r="C110" s="57">
        <v>0</v>
      </c>
      <c r="D110" s="57">
        <v>339.42471551659997</v>
      </c>
      <c r="E110" s="57">
        <v>0</v>
      </c>
      <c r="F110" s="57">
        <v>265.39999999999998</v>
      </c>
      <c r="G110" s="57">
        <v>339.42471551659997</v>
      </c>
    </row>
    <row r="111" spans="1:7" ht="11.25" customHeight="1" x14ac:dyDescent="0.2">
      <c r="A111" s="67">
        <v>44409</v>
      </c>
      <c r="B111" s="57">
        <v>265.39999999999998</v>
      </c>
      <c r="C111" s="57">
        <v>0</v>
      </c>
      <c r="D111" s="57">
        <v>339.42471551659997</v>
      </c>
      <c r="E111" s="57">
        <v>0</v>
      </c>
      <c r="F111" s="57">
        <v>265.39999999999998</v>
      </c>
      <c r="G111" s="57">
        <v>339.42471551659997</v>
      </c>
    </row>
    <row r="112" spans="1:7" ht="11.25" customHeight="1" x14ac:dyDescent="0.2">
      <c r="A112" s="67">
        <v>44440</v>
      </c>
      <c r="B112" s="57">
        <v>265.39999999999998</v>
      </c>
      <c r="C112" s="57">
        <v>0</v>
      </c>
      <c r="D112" s="57">
        <v>339.42471551659997</v>
      </c>
      <c r="E112" s="57">
        <v>0</v>
      </c>
      <c r="F112" s="57">
        <v>265.39999999999998</v>
      </c>
      <c r="G112" s="57">
        <v>339.42471551659997</v>
      </c>
    </row>
    <row r="113" spans="1:7" ht="11.25" customHeight="1" x14ac:dyDescent="0.2">
      <c r="A113" s="67">
        <v>44470</v>
      </c>
      <c r="B113" s="57">
        <v>265.39999999999998</v>
      </c>
      <c r="C113" s="57">
        <v>0</v>
      </c>
      <c r="D113" s="57">
        <v>339.42471551659997</v>
      </c>
      <c r="E113" s="57">
        <v>0</v>
      </c>
      <c r="F113" s="57">
        <v>265.39999999999998</v>
      </c>
      <c r="G113" s="57">
        <v>339.42471551659997</v>
      </c>
    </row>
    <row r="114" spans="1:7" ht="11.25" customHeight="1" x14ac:dyDescent="0.2">
      <c r="A114" s="67">
        <v>44501</v>
      </c>
      <c r="B114" s="57">
        <v>265.39999999999998</v>
      </c>
      <c r="C114" s="57">
        <v>0</v>
      </c>
      <c r="D114" s="57">
        <v>339.42471551659997</v>
      </c>
      <c r="E114" s="57">
        <v>0</v>
      </c>
      <c r="F114" s="57">
        <v>265.39999999999998</v>
      </c>
      <c r="G114" s="57">
        <v>339.42471551659997</v>
      </c>
    </row>
    <row r="115" spans="1:7" ht="11.25" customHeight="1" x14ac:dyDescent="0.2">
      <c r="A115" s="66" t="s">
        <v>38</v>
      </c>
      <c r="B115" s="57">
        <v>0</v>
      </c>
      <c r="C115" s="57">
        <v>453.75148000000047</v>
      </c>
      <c r="D115" s="57">
        <v>0</v>
      </c>
      <c r="E115" s="57">
        <v>579.32554302405356</v>
      </c>
      <c r="F115" s="57">
        <v>453.75148000000047</v>
      </c>
      <c r="G115" s="57">
        <v>579.32554302405356</v>
      </c>
    </row>
    <row r="116" spans="1:7" ht="11.25" customHeight="1" x14ac:dyDescent="0.2">
      <c r="A116" s="67">
        <v>44287</v>
      </c>
      <c r="B116" s="57">
        <v>0</v>
      </c>
      <c r="C116" s="57">
        <v>59.164560000000087</v>
      </c>
      <c r="D116" s="57">
        <v>0</v>
      </c>
      <c r="E116" s="57">
        <v>75.538135654740373</v>
      </c>
      <c r="F116" s="57">
        <v>59.164560000000087</v>
      </c>
      <c r="G116" s="57">
        <v>75.538135654740373</v>
      </c>
    </row>
    <row r="117" spans="1:7" ht="11.25" customHeight="1" x14ac:dyDescent="0.2">
      <c r="A117" s="67">
        <v>44317</v>
      </c>
      <c r="B117" s="57">
        <v>0</v>
      </c>
      <c r="C117" s="57">
        <v>60.88628000000007</v>
      </c>
      <c r="D117" s="57">
        <v>0</v>
      </c>
      <c r="E117" s="57">
        <v>77.736335369560834</v>
      </c>
      <c r="F117" s="57">
        <v>60.88628000000007</v>
      </c>
      <c r="G117" s="57">
        <v>77.736335369560834</v>
      </c>
    </row>
    <row r="118" spans="1:7" ht="11.25" customHeight="1" x14ac:dyDescent="0.2">
      <c r="A118" s="67">
        <v>44348</v>
      </c>
      <c r="B118" s="57">
        <v>0</v>
      </c>
      <c r="C118" s="57">
        <v>62.294960000000181</v>
      </c>
      <c r="D118" s="57">
        <v>0</v>
      </c>
      <c r="E118" s="57">
        <v>79.534862408959555</v>
      </c>
      <c r="F118" s="57">
        <v>62.294960000000181</v>
      </c>
      <c r="G118" s="57">
        <v>79.534862408959555</v>
      </c>
    </row>
    <row r="119" spans="1:7" ht="11.25" customHeight="1" x14ac:dyDescent="0.2">
      <c r="A119" s="67">
        <v>44378</v>
      </c>
      <c r="B119" s="57">
        <v>0</v>
      </c>
      <c r="C119" s="57">
        <v>78.41652000000002</v>
      </c>
      <c r="D119" s="57">
        <v>0</v>
      </c>
      <c r="E119" s="57">
        <v>100.1180051931875</v>
      </c>
      <c r="F119" s="57">
        <v>78.41652000000002</v>
      </c>
      <c r="G119" s="57">
        <v>100.1180051931875</v>
      </c>
    </row>
    <row r="120" spans="1:7" ht="11.25" customHeight="1" x14ac:dyDescent="0.2">
      <c r="A120" s="67">
        <v>44409</v>
      </c>
      <c r="B120" s="57">
        <v>0</v>
      </c>
      <c r="C120" s="57">
        <v>47.112519999999975</v>
      </c>
      <c r="D120" s="57">
        <v>0</v>
      </c>
      <c r="E120" s="57">
        <v>60.150737650996845</v>
      </c>
      <c r="F120" s="57">
        <v>47.112519999999975</v>
      </c>
      <c r="G120" s="57">
        <v>60.150737650996845</v>
      </c>
    </row>
    <row r="121" spans="1:7" ht="11.25" customHeight="1" x14ac:dyDescent="0.2">
      <c r="A121" s="67">
        <v>44440</v>
      </c>
      <c r="B121" s="57">
        <v>0</v>
      </c>
      <c r="C121" s="57">
        <v>42.416920000000069</v>
      </c>
      <c r="D121" s="57">
        <v>0</v>
      </c>
      <c r="E121" s="57">
        <v>54.155647519668364</v>
      </c>
      <c r="F121" s="57">
        <v>42.416920000000069</v>
      </c>
      <c r="G121" s="57">
        <v>54.155647519668364</v>
      </c>
    </row>
    <row r="122" spans="1:7" ht="11.25" customHeight="1" x14ac:dyDescent="0.2">
      <c r="A122" s="67">
        <v>44470</v>
      </c>
      <c r="B122" s="57">
        <v>0</v>
      </c>
      <c r="C122" s="57">
        <v>50.242920000000069</v>
      </c>
      <c r="D122" s="57">
        <v>0</v>
      </c>
      <c r="E122" s="57">
        <v>64.147464405216027</v>
      </c>
      <c r="F122" s="57">
        <v>50.242920000000069</v>
      </c>
      <c r="G122" s="57">
        <v>64.147464405216027</v>
      </c>
    </row>
    <row r="123" spans="1:7" ht="11.25" customHeight="1" x14ac:dyDescent="0.2">
      <c r="A123" s="67">
        <v>44501</v>
      </c>
      <c r="B123" s="57">
        <v>0</v>
      </c>
      <c r="C123" s="57">
        <v>53.216799999999999</v>
      </c>
      <c r="D123" s="57">
        <v>0</v>
      </c>
      <c r="E123" s="57">
        <v>67.944354821724048</v>
      </c>
      <c r="F123" s="57">
        <v>53.216799999999999</v>
      </c>
      <c r="G123" s="57">
        <v>67.944354821724048</v>
      </c>
    </row>
    <row r="124" spans="1:7" ht="11.25" customHeight="1" x14ac:dyDescent="0.2">
      <c r="A124" s="60" t="s">
        <v>40</v>
      </c>
      <c r="B124" s="57">
        <v>0</v>
      </c>
      <c r="C124" s="57">
        <v>186560.53480000002</v>
      </c>
      <c r="D124" s="57">
        <v>0</v>
      </c>
      <c r="E124" s="57">
        <v>226473.81684228464</v>
      </c>
      <c r="F124" s="57">
        <v>186560.53480000008</v>
      </c>
      <c r="G124" s="57">
        <v>226473.81684228464</v>
      </c>
    </row>
    <row r="125" spans="1:7" ht="11.25" customHeight="1" x14ac:dyDescent="0.2">
      <c r="A125" s="61" t="s">
        <v>23</v>
      </c>
      <c r="B125" s="57">
        <v>0</v>
      </c>
      <c r="C125" s="57">
        <v>186560.53480000002</v>
      </c>
      <c r="D125" s="57">
        <v>0</v>
      </c>
      <c r="E125" s="57">
        <v>226473.81684228464</v>
      </c>
      <c r="F125" s="57">
        <v>186560.53480000008</v>
      </c>
      <c r="G125" s="57">
        <v>226473.81684228464</v>
      </c>
    </row>
    <row r="126" spans="1:7" ht="11.25" customHeight="1" x14ac:dyDescent="0.2">
      <c r="A126" s="62" t="s">
        <v>41</v>
      </c>
      <c r="B126" s="57">
        <v>0</v>
      </c>
      <c r="C126" s="57">
        <v>186560.53480000002</v>
      </c>
      <c r="D126" s="57">
        <v>0</v>
      </c>
      <c r="E126" s="57">
        <v>226473.81684228464</v>
      </c>
      <c r="F126" s="57">
        <v>186560.53480000008</v>
      </c>
      <c r="G126" s="57">
        <v>226473.81684228464</v>
      </c>
    </row>
    <row r="127" spans="1:7" ht="11.25" customHeight="1" x14ac:dyDescent="0.2">
      <c r="A127" s="63" t="s">
        <v>49</v>
      </c>
      <c r="B127" s="57">
        <v>0</v>
      </c>
      <c r="C127" s="57">
        <v>99.670500000000047</v>
      </c>
      <c r="D127" s="57">
        <v>0</v>
      </c>
      <c r="E127" s="57">
        <v>120.99428523710972</v>
      </c>
      <c r="F127" s="57">
        <v>99.670500000000047</v>
      </c>
      <c r="G127" s="57">
        <v>120.99428523710972</v>
      </c>
    </row>
    <row r="128" spans="1:7" ht="11.25" customHeight="1" x14ac:dyDescent="0.2">
      <c r="A128" s="64" t="s">
        <v>50</v>
      </c>
      <c r="B128" s="57">
        <v>0</v>
      </c>
      <c r="C128" s="57">
        <v>99.670500000000047</v>
      </c>
      <c r="D128" s="57">
        <v>0</v>
      </c>
      <c r="E128" s="57">
        <v>120.99428523710972</v>
      </c>
      <c r="F128" s="57">
        <v>99.670500000000047</v>
      </c>
      <c r="G128" s="57">
        <v>120.99428523710972</v>
      </c>
    </row>
    <row r="129" spans="1:7" ht="11.25" customHeight="1" x14ac:dyDescent="0.2">
      <c r="A129" s="65" t="s">
        <v>25</v>
      </c>
      <c r="B129" s="57">
        <v>0</v>
      </c>
      <c r="C129" s="57">
        <v>99.670500000000047</v>
      </c>
      <c r="D129" s="57">
        <v>0</v>
      </c>
      <c r="E129" s="57">
        <v>120.99428523710972</v>
      </c>
      <c r="F129" s="57">
        <v>99.670500000000047</v>
      </c>
      <c r="G129" s="57">
        <v>120.99428523710972</v>
      </c>
    </row>
    <row r="130" spans="1:7" ht="11.25" customHeight="1" x14ac:dyDescent="0.2">
      <c r="A130" s="66" t="s">
        <v>25</v>
      </c>
      <c r="B130" s="57">
        <v>0</v>
      </c>
      <c r="C130" s="57">
        <v>99.670500000000047</v>
      </c>
      <c r="D130" s="57">
        <v>0</v>
      </c>
      <c r="E130" s="57">
        <v>120.99428523710972</v>
      </c>
      <c r="F130" s="57">
        <v>99.670500000000047</v>
      </c>
      <c r="G130" s="57">
        <v>120.99428523710972</v>
      </c>
    </row>
    <row r="131" spans="1:7" ht="11.25" customHeight="1" x14ac:dyDescent="0.2">
      <c r="A131" s="67">
        <v>44287</v>
      </c>
      <c r="B131" s="57">
        <v>0</v>
      </c>
      <c r="C131" s="57">
        <v>6.1525000000000025</v>
      </c>
      <c r="D131" s="57">
        <v>0</v>
      </c>
      <c r="E131" s="57">
        <v>7.4687830393277608</v>
      </c>
      <c r="F131" s="57">
        <v>6.1525000000000025</v>
      </c>
      <c r="G131" s="57">
        <v>7.4687830393277608</v>
      </c>
    </row>
    <row r="132" spans="1:7" ht="11.25" customHeight="1" x14ac:dyDescent="0.2">
      <c r="A132" s="67">
        <v>44317</v>
      </c>
      <c r="B132" s="57">
        <v>0</v>
      </c>
      <c r="C132" s="57">
        <v>7.3830000000000018</v>
      </c>
      <c r="D132" s="57">
        <v>0</v>
      </c>
      <c r="E132" s="57">
        <v>8.9625396471933119</v>
      </c>
      <c r="F132" s="57">
        <v>7.3830000000000018</v>
      </c>
      <c r="G132" s="57">
        <v>8.9625396471933119</v>
      </c>
    </row>
    <row r="133" spans="1:7" ht="11.25" customHeight="1" x14ac:dyDescent="0.2">
      <c r="A133" s="67">
        <v>44348</v>
      </c>
      <c r="B133" s="57">
        <v>0</v>
      </c>
      <c r="C133" s="57">
        <v>6.1525000000000025</v>
      </c>
      <c r="D133" s="57">
        <v>0</v>
      </c>
      <c r="E133" s="57">
        <v>7.4687830393277608</v>
      </c>
      <c r="F133" s="57">
        <v>6.1525000000000025</v>
      </c>
      <c r="G133" s="57">
        <v>7.4687830393277608</v>
      </c>
    </row>
    <row r="134" spans="1:7" ht="11.25" customHeight="1" x14ac:dyDescent="0.2">
      <c r="A134" s="67">
        <v>44378</v>
      </c>
      <c r="B134" s="57">
        <v>0</v>
      </c>
      <c r="C134" s="57">
        <v>6.1525000000000025</v>
      </c>
      <c r="D134" s="57">
        <v>0</v>
      </c>
      <c r="E134" s="57">
        <v>7.4687830393277608</v>
      </c>
      <c r="F134" s="57">
        <v>6.1525000000000025</v>
      </c>
      <c r="G134" s="57">
        <v>7.4687830393277608</v>
      </c>
    </row>
    <row r="135" spans="1:7" ht="11.25" customHeight="1" x14ac:dyDescent="0.2">
      <c r="A135" s="67">
        <v>44409</v>
      </c>
      <c r="B135" s="57">
        <v>0</v>
      </c>
      <c r="C135" s="57">
        <v>21.287650000000006</v>
      </c>
      <c r="D135" s="57">
        <v>0</v>
      </c>
      <c r="E135" s="57">
        <v>25.841989316074049</v>
      </c>
      <c r="F135" s="57">
        <v>21.287650000000006</v>
      </c>
      <c r="G135" s="57">
        <v>25.841989316074049</v>
      </c>
    </row>
    <row r="136" spans="1:7" ht="11.25" customHeight="1" x14ac:dyDescent="0.2">
      <c r="A136" s="67">
        <v>44440</v>
      </c>
      <c r="B136" s="57">
        <v>0</v>
      </c>
      <c r="C136" s="57">
        <v>15.627350000000005</v>
      </c>
      <c r="D136" s="57">
        <v>0</v>
      </c>
      <c r="E136" s="57">
        <v>18.970708919892513</v>
      </c>
      <c r="F136" s="57">
        <v>15.627350000000005</v>
      </c>
      <c r="G136" s="57">
        <v>18.970708919892513</v>
      </c>
    </row>
    <row r="137" spans="1:7" ht="11.25" customHeight="1" x14ac:dyDescent="0.2">
      <c r="A137" s="67">
        <v>44470</v>
      </c>
      <c r="B137" s="57">
        <v>0</v>
      </c>
      <c r="C137" s="57">
        <v>6.1525000000000025</v>
      </c>
      <c r="D137" s="57">
        <v>0</v>
      </c>
      <c r="E137" s="57">
        <v>7.4687830393277608</v>
      </c>
      <c r="F137" s="57">
        <v>6.1525000000000025</v>
      </c>
      <c r="G137" s="57">
        <v>7.4687830393277608</v>
      </c>
    </row>
    <row r="138" spans="1:7" ht="11.25" customHeight="1" x14ac:dyDescent="0.2">
      <c r="A138" s="67">
        <v>44501</v>
      </c>
      <c r="B138" s="57">
        <v>0</v>
      </c>
      <c r="C138" s="57">
        <v>6.1525000000000025</v>
      </c>
      <c r="D138" s="57">
        <v>0</v>
      </c>
      <c r="E138" s="57">
        <v>7.4687830393277608</v>
      </c>
      <c r="F138" s="57">
        <v>6.1525000000000025</v>
      </c>
      <c r="G138" s="57">
        <v>7.4687830393277608</v>
      </c>
    </row>
    <row r="139" spans="1:7" ht="11.25" customHeight="1" x14ac:dyDescent="0.2">
      <c r="A139" s="67">
        <v>44531</v>
      </c>
      <c r="B139" s="57">
        <v>0</v>
      </c>
      <c r="C139" s="57">
        <v>6.1525000000000025</v>
      </c>
      <c r="D139" s="57">
        <v>0</v>
      </c>
      <c r="E139" s="57">
        <v>7.4687830393277608</v>
      </c>
      <c r="F139" s="57">
        <v>6.1525000000000025</v>
      </c>
      <c r="G139" s="57">
        <v>7.4687830393277608</v>
      </c>
    </row>
    <row r="140" spans="1:7" ht="11.25" customHeight="1" x14ac:dyDescent="0.2">
      <c r="A140" s="67">
        <v>44562</v>
      </c>
      <c r="B140" s="57">
        <v>0</v>
      </c>
      <c r="C140" s="57">
        <v>6.1525000000000025</v>
      </c>
      <c r="D140" s="57">
        <v>0</v>
      </c>
      <c r="E140" s="57">
        <v>7.4687830393277608</v>
      </c>
      <c r="F140" s="57">
        <v>6.1525000000000025</v>
      </c>
      <c r="G140" s="57">
        <v>7.4687830393277608</v>
      </c>
    </row>
    <row r="141" spans="1:7" ht="11.25" customHeight="1" x14ac:dyDescent="0.2">
      <c r="A141" s="67">
        <v>44593</v>
      </c>
      <c r="B141" s="57">
        <v>0</v>
      </c>
      <c r="C141" s="57">
        <v>6.1525000000000025</v>
      </c>
      <c r="D141" s="57">
        <v>0</v>
      </c>
      <c r="E141" s="57">
        <v>7.4687830393277608</v>
      </c>
      <c r="F141" s="57">
        <v>6.1525000000000025</v>
      </c>
      <c r="G141" s="57">
        <v>7.4687830393277608</v>
      </c>
    </row>
    <row r="142" spans="1:7" ht="11.25" customHeight="1" x14ac:dyDescent="0.2">
      <c r="A142" s="67">
        <v>44621</v>
      </c>
      <c r="B142" s="57">
        <v>0</v>
      </c>
      <c r="C142" s="57">
        <v>6.1525000000000025</v>
      </c>
      <c r="D142" s="57">
        <v>0</v>
      </c>
      <c r="E142" s="57">
        <v>7.4687830393277608</v>
      </c>
      <c r="F142" s="57">
        <v>6.1525000000000025</v>
      </c>
      <c r="G142" s="57">
        <v>7.4687830393277608</v>
      </c>
    </row>
    <row r="143" spans="1:7" ht="11.25" customHeight="1" x14ac:dyDescent="0.2">
      <c r="A143" s="63" t="s">
        <v>25</v>
      </c>
      <c r="B143" s="57">
        <v>0</v>
      </c>
      <c r="C143" s="57">
        <v>186460.86430000002</v>
      </c>
      <c r="D143" s="57">
        <v>0</v>
      </c>
      <c r="E143" s="57">
        <v>226352.82255704753</v>
      </c>
      <c r="F143" s="57">
        <v>186460.86430000007</v>
      </c>
      <c r="G143" s="57">
        <v>226352.82255704753</v>
      </c>
    </row>
    <row r="144" spans="1:7" ht="11.25" customHeight="1" x14ac:dyDescent="0.2">
      <c r="A144" s="64" t="s">
        <v>25</v>
      </c>
      <c r="B144" s="57">
        <v>0</v>
      </c>
      <c r="C144" s="57">
        <v>186460.86430000002</v>
      </c>
      <c r="D144" s="57">
        <v>0</v>
      </c>
      <c r="E144" s="57">
        <v>226352.82255704753</v>
      </c>
      <c r="F144" s="57">
        <v>186460.86430000007</v>
      </c>
      <c r="G144" s="57">
        <v>226352.82255704753</v>
      </c>
    </row>
    <row r="145" spans="1:7" ht="11.25" customHeight="1" x14ac:dyDescent="0.2">
      <c r="A145" s="65" t="s">
        <v>25</v>
      </c>
      <c r="B145" s="57">
        <v>0</v>
      </c>
      <c r="C145" s="57">
        <v>186460.86430000002</v>
      </c>
      <c r="D145" s="57">
        <v>0</v>
      </c>
      <c r="E145" s="57">
        <v>226352.82255704753</v>
      </c>
      <c r="F145" s="57">
        <v>186460.86430000007</v>
      </c>
      <c r="G145" s="57">
        <v>226352.82255704753</v>
      </c>
    </row>
    <row r="146" spans="1:7" ht="11.25" customHeight="1" x14ac:dyDescent="0.2">
      <c r="A146" s="66" t="s">
        <v>25</v>
      </c>
      <c r="B146" s="57">
        <v>0</v>
      </c>
      <c r="C146" s="57">
        <v>186460.86430000002</v>
      </c>
      <c r="D146" s="57">
        <v>0</v>
      </c>
      <c r="E146" s="57">
        <v>226352.82255704753</v>
      </c>
      <c r="F146" s="57">
        <v>186460.86430000007</v>
      </c>
      <c r="G146" s="57">
        <v>226352.82255704753</v>
      </c>
    </row>
    <row r="147" spans="1:7" ht="11.25" customHeight="1" x14ac:dyDescent="0.2">
      <c r="A147" s="67">
        <v>44287</v>
      </c>
      <c r="B147" s="57">
        <v>0</v>
      </c>
      <c r="C147" s="57">
        <v>15546.875300000005</v>
      </c>
      <c r="D147" s="57">
        <v>0</v>
      </c>
      <c r="E147" s="57">
        <v>18873.017237738106</v>
      </c>
      <c r="F147" s="57">
        <v>15546.875300000005</v>
      </c>
      <c r="G147" s="57">
        <v>18873.017237738106</v>
      </c>
    </row>
    <row r="148" spans="1:7" ht="11.25" customHeight="1" x14ac:dyDescent="0.2">
      <c r="A148" s="67">
        <v>44317</v>
      </c>
      <c r="B148" s="57">
        <v>0</v>
      </c>
      <c r="C148" s="57">
        <v>15302.128850000005</v>
      </c>
      <c r="D148" s="57">
        <v>0</v>
      </c>
      <c r="E148" s="57">
        <v>18575.909048433648</v>
      </c>
      <c r="F148" s="57">
        <v>15302.128850000005</v>
      </c>
      <c r="G148" s="57">
        <v>18575.909048433648</v>
      </c>
    </row>
    <row r="149" spans="1:7" ht="11.25" customHeight="1" x14ac:dyDescent="0.2">
      <c r="A149" s="67">
        <v>44348</v>
      </c>
      <c r="B149" s="57">
        <v>0</v>
      </c>
      <c r="C149" s="57">
        <v>15927.099800000005</v>
      </c>
      <c r="D149" s="57">
        <v>0</v>
      </c>
      <c r="E149" s="57">
        <v>19334.58802956856</v>
      </c>
      <c r="F149" s="57">
        <v>15927.099800000005</v>
      </c>
      <c r="G149" s="57">
        <v>19334.58802956856</v>
      </c>
    </row>
    <row r="150" spans="1:7" ht="11.25" customHeight="1" x14ac:dyDescent="0.2">
      <c r="A150" s="67">
        <v>44378</v>
      </c>
      <c r="B150" s="57">
        <v>0</v>
      </c>
      <c r="C150" s="57">
        <v>14578.225700000005</v>
      </c>
      <c r="D150" s="57">
        <v>0</v>
      </c>
      <c r="E150" s="57">
        <v>17697.132036026342</v>
      </c>
      <c r="F150" s="57">
        <v>14578.225700000005</v>
      </c>
      <c r="G150" s="57">
        <v>17697.132036026342</v>
      </c>
    </row>
    <row r="151" spans="1:7" ht="11.25" customHeight="1" x14ac:dyDescent="0.2">
      <c r="A151" s="67">
        <v>44409</v>
      </c>
      <c r="B151" s="57">
        <v>0</v>
      </c>
      <c r="C151" s="57">
        <v>15038.432700000005</v>
      </c>
      <c r="D151" s="57">
        <v>0</v>
      </c>
      <c r="E151" s="57">
        <v>18255.797007368059</v>
      </c>
      <c r="F151" s="57">
        <v>15038.432700000005</v>
      </c>
      <c r="G151" s="57">
        <v>18255.797007368059</v>
      </c>
    </row>
    <row r="152" spans="1:7" ht="11.25" customHeight="1" x14ac:dyDescent="0.2">
      <c r="A152" s="67">
        <v>44440</v>
      </c>
      <c r="B152" s="57">
        <v>0</v>
      </c>
      <c r="C152" s="57">
        <v>16149.328100000004</v>
      </c>
      <c r="D152" s="57">
        <v>0</v>
      </c>
      <c r="E152" s="57">
        <v>19604.36047294908</v>
      </c>
      <c r="F152" s="57">
        <v>16149.328100000004</v>
      </c>
      <c r="G152" s="57">
        <v>19604.36047294908</v>
      </c>
    </row>
    <row r="153" spans="1:7" ht="11.25" customHeight="1" x14ac:dyDescent="0.2">
      <c r="A153" s="67">
        <v>44470</v>
      </c>
      <c r="B153" s="57">
        <v>0</v>
      </c>
      <c r="C153" s="57">
        <v>14515.470200000005</v>
      </c>
      <c r="D153" s="57">
        <v>0</v>
      </c>
      <c r="E153" s="57">
        <v>17620.9504490252</v>
      </c>
      <c r="F153" s="57">
        <v>14515.470200000005</v>
      </c>
      <c r="G153" s="57">
        <v>17620.9504490252</v>
      </c>
    </row>
    <row r="154" spans="1:7" ht="11.25" customHeight="1" x14ac:dyDescent="0.2">
      <c r="A154" s="67">
        <v>44501</v>
      </c>
      <c r="B154" s="57">
        <v>0</v>
      </c>
      <c r="C154" s="57">
        <v>15405.490850000004</v>
      </c>
      <c r="D154" s="57">
        <v>0</v>
      </c>
      <c r="E154" s="57">
        <v>18701.384603494353</v>
      </c>
      <c r="F154" s="57">
        <v>15405.490850000004</v>
      </c>
      <c r="G154" s="57">
        <v>18701.384603494353</v>
      </c>
    </row>
    <row r="155" spans="1:7" ht="11.25" customHeight="1" x14ac:dyDescent="0.2">
      <c r="A155" s="67">
        <v>44531</v>
      </c>
      <c r="B155" s="57">
        <v>0</v>
      </c>
      <c r="C155" s="57">
        <v>16012.865650000003</v>
      </c>
      <c r="D155" s="57">
        <v>0</v>
      </c>
      <c r="E155" s="57">
        <v>19438.702865136787</v>
      </c>
      <c r="F155" s="57">
        <v>16012.865650000003</v>
      </c>
      <c r="G155" s="57">
        <v>19438.702865136787</v>
      </c>
    </row>
    <row r="156" spans="1:7" ht="11.25" customHeight="1" x14ac:dyDescent="0.2">
      <c r="A156" s="67">
        <v>44562</v>
      </c>
      <c r="B156" s="57">
        <v>0</v>
      </c>
      <c r="C156" s="57">
        <v>16499.774500000007</v>
      </c>
      <c r="D156" s="57">
        <v>0</v>
      </c>
      <c r="E156" s="57">
        <v>20029.782354869189</v>
      </c>
      <c r="F156" s="57">
        <v>16499.774500000007</v>
      </c>
      <c r="G156" s="57">
        <v>20029.782354869189</v>
      </c>
    </row>
    <row r="157" spans="1:7" ht="11.25" customHeight="1" x14ac:dyDescent="0.2">
      <c r="A157" s="67">
        <v>44593</v>
      </c>
      <c r="B157" s="57">
        <v>0</v>
      </c>
      <c r="C157" s="57">
        <v>16220.451000000005</v>
      </c>
      <c r="D157" s="57">
        <v>0</v>
      </c>
      <c r="E157" s="57">
        <v>19690.699604883706</v>
      </c>
      <c r="F157" s="57">
        <v>16220.451000000005</v>
      </c>
      <c r="G157" s="57">
        <v>19690.699604883706</v>
      </c>
    </row>
    <row r="158" spans="1:7" ht="11.25" customHeight="1" x14ac:dyDescent="0.2">
      <c r="A158" s="67">
        <v>44621</v>
      </c>
      <c r="B158" s="57">
        <v>0</v>
      </c>
      <c r="C158" s="57">
        <v>15264.721650000005</v>
      </c>
      <c r="D158" s="57">
        <v>0</v>
      </c>
      <c r="E158" s="57">
        <v>18530.498847554536</v>
      </c>
      <c r="F158" s="57">
        <v>15264.721650000005</v>
      </c>
      <c r="G158" s="57">
        <v>18530.498847554536</v>
      </c>
    </row>
    <row r="159" spans="1:7" ht="11.25" customHeight="1" x14ac:dyDescent="0.2">
      <c r="A159" s="59" t="s">
        <v>554</v>
      </c>
      <c r="B159" s="57">
        <v>0</v>
      </c>
      <c r="C159" s="57">
        <v>0</v>
      </c>
      <c r="D159" s="57">
        <v>0</v>
      </c>
      <c r="E159" s="57">
        <v>0</v>
      </c>
      <c r="F159" s="57">
        <v>0</v>
      </c>
      <c r="G159" s="57">
        <v>0</v>
      </c>
    </row>
    <row r="160" spans="1:7" ht="11.25" customHeight="1" x14ac:dyDescent="0.2">
      <c r="A160" s="60" t="s">
        <v>22</v>
      </c>
      <c r="B160" s="57">
        <v>0</v>
      </c>
      <c r="C160" s="57">
        <v>0</v>
      </c>
      <c r="D160" s="57">
        <v>0</v>
      </c>
      <c r="E160" s="57">
        <v>0</v>
      </c>
      <c r="F160" s="57">
        <v>0</v>
      </c>
      <c r="G160" s="57">
        <v>0</v>
      </c>
    </row>
    <row r="161" spans="1:7" ht="11.25" customHeight="1" x14ac:dyDescent="0.2">
      <c r="A161" s="61" t="s">
        <v>23</v>
      </c>
      <c r="B161" s="57">
        <v>0</v>
      </c>
      <c r="C161" s="57">
        <v>0</v>
      </c>
      <c r="D161" s="57">
        <v>0</v>
      </c>
      <c r="E161" s="57">
        <v>0</v>
      </c>
      <c r="F161" s="57">
        <v>0</v>
      </c>
      <c r="G161" s="57">
        <v>0</v>
      </c>
    </row>
    <row r="162" spans="1:7" ht="11.25" customHeight="1" x14ac:dyDescent="0.2">
      <c r="A162" s="62" t="s">
        <v>24</v>
      </c>
      <c r="B162" s="57">
        <v>0</v>
      </c>
      <c r="C162" s="57">
        <v>0</v>
      </c>
      <c r="D162" s="57">
        <v>0</v>
      </c>
      <c r="E162" s="57">
        <v>0</v>
      </c>
      <c r="F162" s="57">
        <v>0</v>
      </c>
      <c r="G162" s="57">
        <v>0</v>
      </c>
    </row>
    <row r="163" spans="1:7" ht="11.25" customHeight="1" x14ac:dyDescent="0.2">
      <c r="A163" s="63" t="s">
        <v>24</v>
      </c>
      <c r="B163" s="57">
        <v>0</v>
      </c>
      <c r="C163" s="57">
        <v>0</v>
      </c>
      <c r="D163" s="57">
        <v>0</v>
      </c>
      <c r="E163" s="57">
        <v>0</v>
      </c>
      <c r="F163" s="57">
        <v>0</v>
      </c>
      <c r="G163" s="57">
        <v>0</v>
      </c>
    </row>
    <row r="164" spans="1:7" ht="11.25" customHeight="1" x14ac:dyDescent="0.2">
      <c r="A164" s="64" t="s">
        <v>25</v>
      </c>
      <c r="B164" s="57">
        <v>0</v>
      </c>
      <c r="C164" s="57">
        <v>0</v>
      </c>
      <c r="D164" s="57">
        <v>0</v>
      </c>
      <c r="E164" s="57">
        <v>0</v>
      </c>
      <c r="F164" s="57">
        <v>0</v>
      </c>
      <c r="G164" s="57">
        <v>0</v>
      </c>
    </row>
    <row r="165" spans="1:7" ht="11.25" customHeight="1" x14ac:dyDescent="0.2">
      <c r="A165" s="65" t="s">
        <v>25</v>
      </c>
      <c r="B165" s="57">
        <v>0</v>
      </c>
      <c r="C165" s="57">
        <v>0</v>
      </c>
      <c r="D165" s="57">
        <v>0</v>
      </c>
      <c r="E165" s="57">
        <v>0</v>
      </c>
      <c r="F165" s="57">
        <v>0</v>
      </c>
      <c r="G165" s="57">
        <v>0</v>
      </c>
    </row>
    <row r="166" spans="1:7" ht="11.25" customHeight="1" x14ac:dyDescent="0.2">
      <c r="A166" s="66" t="s">
        <v>25</v>
      </c>
      <c r="B166" s="57">
        <v>0</v>
      </c>
      <c r="C166" s="57">
        <v>0</v>
      </c>
      <c r="D166" s="57">
        <v>0</v>
      </c>
      <c r="E166" s="57">
        <v>0</v>
      </c>
      <c r="F166" s="57">
        <v>0</v>
      </c>
      <c r="G166" s="57">
        <v>0</v>
      </c>
    </row>
    <row r="167" spans="1:7" ht="11.25" customHeight="1" x14ac:dyDescent="0.2">
      <c r="A167" s="67">
        <v>44287</v>
      </c>
      <c r="B167" s="57">
        <v>0</v>
      </c>
      <c r="C167" s="57">
        <v>0</v>
      </c>
      <c r="D167" s="57">
        <v>0</v>
      </c>
      <c r="E167" s="57">
        <v>0</v>
      </c>
      <c r="F167" s="57">
        <v>0</v>
      </c>
      <c r="G167" s="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141-07D0-454B-8617-01CC9DC71828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77" bestFit="1" customWidth="1"/>
    <col min="2" max="2" width="10.33203125" style="77" bestFit="1" customWidth="1"/>
    <col min="3" max="3" width="9.5546875" style="77" bestFit="1" customWidth="1"/>
    <col min="4" max="4" width="5.88671875" style="77" bestFit="1" customWidth="1"/>
    <col min="5" max="10" width="7.77734375" style="77" customWidth="1"/>
    <col min="11" max="12" width="8.88671875" style="77"/>
    <col min="13" max="13" width="14.33203125" style="77" customWidth="1"/>
    <col min="14" max="14" width="16.77734375" style="77" customWidth="1"/>
    <col min="15" max="15" width="31.77734375" style="77" customWidth="1"/>
    <col min="16" max="22" width="7.77734375" style="77" customWidth="1"/>
    <col min="23" max="16384" width="8.88671875" style="77"/>
  </cols>
  <sheetData>
    <row r="1" spans="1:22" ht="11.25" customHeight="1" x14ac:dyDescent="0.3">
      <c r="A1" s="115" t="s">
        <v>624</v>
      </c>
      <c r="B1" s="135"/>
      <c r="C1" s="135"/>
      <c r="D1" s="135"/>
      <c r="E1" s="135"/>
      <c r="F1" s="135"/>
      <c r="G1" s="135"/>
      <c r="H1" s="135"/>
      <c r="I1" s="135"/>
      <c r="J1" s="135"/>
      <c r="L1" s="115" t="s">
        <v>634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22" ht="11.25" customHeight="1" x14ac:dyDescent="0.3">
      <c r="A2" s="130" t="s">
        <v>57</v>
      </c>
      <c r="B2" s="130" t="s">
        <v>58</v>
      </c>
      <c r="C2" s="130" t="s">
        <v>625</v>
      </c>
      <c r="D2" s="130" t="s">
        <v>63</v>
      </c>
      <c r="E2" s="130" t="s">
        <v>626</v>
      </c>
      <c r="F2" s="134"/>
      <c r="G2" s="134"/>
      <c r="H2" s="130" t="s">
        <v>388</v>
      </c>
      <c r="I2" s="134"/>
      <c r="J2" s="134"/>
      <c r="L2" s="130" t="s">
        <v>57</v>
      </c>
      <c r="M2" s="130" t="s">
        <v>58</v>
      </c>
      <c r="N2" s="130" t="s">
        <v>59</v>
      </c>
      <c r="O2" s="130" t="s">
        <v>60</v>
      </c>
      <c r="P2" s="130" t="s">
        <v>63</v>
      </c>
      <c r="Q2" s="130" t="s">
        <v>626</v>
      </c>
      <c r="R2" s="136"/>
      <c r="S2" s="136"/>
      <c r="T2" s="130" t="s">
        <v>388</v>
      </c>
      <c r="U2" s="136"/>
      <c r="V2" s="136"/>
    </row>
    <row r="3" spans="1:22" ht="11.25" customHeight="1" x14ac:dyDescent="0.3">
      <c r="A3" s="134"/>
      <c r="B3" s="134"/>
      <c r="C3" s="134"/>
      <c r="D3" s="134"/>
      <c r="E3" s="130" t="s">
        <v>347</v>
      </c>
      <c r="F3" s="134"/>
      <c r="G3" s="93" t="s">
        <v>375</v>
      </c>
      <c r="H3" s="130" t="s">
        <v>347</v>
      </c>
      <c r="I3" s="134"/>
      <c r="J3" s="93" t="s">
        <v>375</v>
      </c>
      <c r="L3" s="136"/>
      <c r="M3" s="136"/>
      <c r="N3" s="136"/>
      <c r="O3" s="136"/>
      <c r="P3" s="136"/>
      <c r="Q3" s="130" t="s">
        <v>347</v>
      </c>
      <c r="R3" s="136"/>
      <c r="S3" s="93" t="s">
        <v>375</v>
      </c>
      <c r="T3" s="130" t="s">
        <v>347</v>
      </c>
      <c r="U3" s="136"/>
      <c r="V3" s="93" t="s">
        <v>375</v>
      </c>
    </row>
    <row r="4" spans="1:22" ht="11.25" customHeight="1" x14ac:dyDescent="0.3">
      <c r="A4" s="134"/>
      <c r="B4" s="134"/>
      <c r="C4" s="134"/>
      <c r="D4" s="134"/>
      <c r="E4" s="93" t="s">
        <v>627</v>
      </c>
      <c r="F4" s="93" t="s">
        <v>628</v>
      </c>
      <c r="G4" s="93" t="s">
        <v>628</v>
      </c>
      <c r="H4" s="93" t="s">
        <v>627</v>
      </c>
      <c r="I4" s="93" t="s">
        <v>628</v>
      </c>
      <c r="J4" s="93" t="s">
        <v>628</v>
      </c>
      <c r="L4" s="136"/>
      <c r="M4" s="136"/>
      <c r="N4" s="136"/>
      <c r="O4" s="136"/>
      <c r="P4" s="136"/>
      <c r="Q4" s="93" t="s">
        <v>627</v>
      </c>
      <c r="R4" s="93" t="s">
        <v>628</v>
      </c>
      <c r="S4" s="93" t="s">
        <v>628</v>
      </c>
      <c r="T4" s="93" t="s">
        <v>627</v>
      </c>
      <c r="U4" s="93" t="s">
        <v>628</v>
      </c>
      <c r="V4" s="93" t="s">
        <v>628</v>
      </c>
    </row>
    <row r="5" spans="1:22" ht="11.25" customHeight="1" x14ac:dyDescent="0.3">
      <c r="A5" s="133" t="s">
        <v>36</v>
      </c>
      <c r="B5" s="133" t="s">
        <v>70</v>
      </c>
      <c r="C5" s="133" t="s">
        <v>25</v>
      </c>
      <c r="D5" s="94" t="s">
        <v>629</v>
      </c>
      <c r="E5" s="45">
        <f ca="1">ROUND('TUSD BE'!$AM$5+'TUSD BF'!$AM$5+'TUSD CVA'!$AM$5,2)</f>
        <v>196.14</v>
      </c>
      <c r="F5" s="45">
        <f ca="1">ROUND('TUSD BE'!$AM$7+'TUSD BF'!$AM$7+'TUSD CVA'!$AM$7,2)</f>
        <v>135.58000000000001</v>
      </c>
      <c r="G5" s="45">
        <f>ROUND('TE BE'!$AA$5+'TE BF'!$AA$5+'TE CVA'!$AA$5,2)</f>
        <v>225.79</v>
      </c>
      <c r="H5" s="45">
        <f ca="1">ROUND('TUSD BE'!$AM$5,2)</f>
        <v>178.75</v>
      </c>
      <c r="I5" s="45">
        <f ca="1">ROUND('TUSD BE'!$AM$7,2)</f>
        <v>140.18</v>
      </c>
      <c r="J5" s="45">
        <f>ROUND('TE BE'!$AA$5,2)</f>
        <v>182.45</v>
      </c>
      <c r="L5" s="137" t="s">
        <v>22</v>
      </c>
      <c r="M5" s="137" t="s">
        <v>635</v>
      </c>
      <c r="N5" s="137" t="s">
        <v>636</v>
      </c>
      <c r="O5" s="137" t="s">
        <v>636</v>
      </c>
      <c r="P5" s="94" t="s">
        <v>629</v>
      </c>
      <c r="Q5" s="45">
        <v>0</v>
      </c>
      <c r="R5" s="45">
        <f ca="1">ROUND('TUSD BE'!$AM$17+'TUSD BF'!$AM$17+'TUSD CVA'!$AM$17,2)</f>
        <v>2712.76</v>
      </c>
      <c r="S5" s="45">
        <f>ROUND('TE BE'!$AA$7+'TE BF'!$AA$7+'TE CVA'!$AA$7,2)</f>
        <v>225.79</v>
      </c>
      <c r="T5" s="45">
        <v>0</v>
      </c>
      <c r="U5" s="45">
        <f ca="1">ROUND('TUSD BE'!$AM$17,2)</f>
        <v>2498.21</v>
      </c>
      <c r="V5" s="45">
        <f>ROUND('TE BE'!$AA$7,2)</f>
        <v>182.45</v>
      </c>
    </row>
    <row r="6" spans="1:22" ht="11.25" customHeight="1" x14ac:dyDescent="0.3">
      <c r="A6" s="134"/>
      <c r="B6" s="134"/>
      <c r="C6" s="134"/>
      <c r="D6" s="94" t="s">
        <v>630</v>
      </c>
      <c r="E6" s="45">
        <f ca="1">ROUND('TUSD BE'!$AM$6+'TUSD BF'!$AM$6+'TUSD CVA'!$AM$6,2)</f>
        <v>68.86</v>
      </c>
      <c r="F6" s="45">
        <f ca="1">ROUND('TUSD BE'!$AM$7+'TUSD BF'!$AM$7+'TUSD CVA'!$AM$7,2)</f>
        <v>135.58000000000001</v>
      </c>
      <c r="G6" s="45">
        <f>ROUND('TE BE'!$AA$6+'TE BF'!$AA$6+'TE CVA'!$AA$6,2)</f>
        <v>225.79</v>
      </c>
      <c r="H6" s="45">
        <f ca="1">ROUND('TUSD BE'!$AM$6,2)</f>
        <v>63.23</v>
      </c>
      <c r="I6" s="45">
        <f ca="1">ROUND('TUSD BE'!$AM$7,2)</f>
        <v>140.18</v>
      </c>
      <c r="J6" s="45">
        <f>ROUND('TE BE'!$AA$6,2)</f>
        <v>182.45</v>
      </c>
      <c r="L6" s="138"/>
      <c r="M6" s="138"/>
      <c r="N6" s="138"/>
      <c r="O6" s="138"/>
      <c r="P6" s="94" t="s">
        <v>637</v>
      </c>
      <c r="Q6" s="45">
        <v>0</v>
      </c>
      <c r="R6" s="45">
        <f ca="1">ROUND('TUSD BE'!$AM$18+'TUSD BF'!$AM$18+'TUSD CVA'!$AM$18,2)</f>
        <v>1695.45</v>
      </c>
      <c r="S6" s="45">
        <f>ROUND('TE BE'!$AA$8+'TE BF'!$AA$8+'TE CVA'!$AA$8,2)</f>
        <v>225.79</v>
      </c>
      <c r="T6" s="45">
        <v>0</v>
      </c>
      <c r="U6" s="45">
        <f ca="1">ROUND('TUSD BE'!$AM$18,2)</f>
        <v>1568.06</v>
      </c>
      <c r="V6" s="45">
        <f>ROUND('TE BE'!$AA$8,2)</f>
        <v>182.45</v>
      </c>
    </row>
    <row r="7" spans="1:22" ht="11.25" customHeight="1" x14ac:dyDescent="0.3">
      <c r="A7" s="134"/>
      <c r="B7" s="133" t="s">
        <v>631</v>
      </c>
      <c r="C7" s="133" t="s">
        <v>25</v>
      </c>
      <c r="D7" s="94" t="s">
        <v>629</v>
      </c>
      <c r="E7" s="45">
        <f ca="1">ROUND('TUSD BE'!$AM$5+'TUSD BF'!$AM$5+'TUSD CVA'!$AM$5,2)</f>
        <v>196.14</v>
      </c>
      <c r="F7" s="45">
        <f ca="1">ROUND('TUSD BE'!$AM$8+'TUSD BF'!$AM$8+'TUSD CVA'!$AM$8,2)</f>
        <v>14.6</v>
      </c>
      <c r="G7" s="45">
        <v>0</v>
      </c>
      <c r="H7" s="45">
        <f ca="1">ROUND('TUSD BE'!$AM$5,2)</f>
        <v>178.75</v>
      </c>
      <c r="I7" s="45">
        <f ca="1">ROUND('TUSD BE'!$AM$8,2)</f>
        <v>12.26</v>
      </c>
      <c r="J7" s="45">
        <v>0</v>
      </c>
      <c r="L7" s="138"/>
      <c r="M7" s="139"/>
      <c r="N7" s="139"/>
      <c r="O7" s="139"/>
      <c r="P7" s="94" t="s">
        <v>630</v>
      </c>
      <c r="Q7" s="45">
        <v>0</v>
      </c>
      <c r="R7" s="45">
        <f ca="1">ROUND('TUSD BE'!$AM$19+'TUSD BF'!$AM$19+'TUSD CVA'!$AM$19,2)</f>
        <v>678.13</v>
      </c>
      <c r="S7" s="45">
        <f>ROUND('TE BE'!$AA$9+'TE BF'!$AA$9+'TE CVA'!$AA$9,2)</f>
        <v>225.79</v>
      </c>
      <c r="T7" s="45">
        <v>0</v>
      </c>
      <c r="U7" s="45">
        <f ca="1">ROUND('TUSD BE'!$AM$19,2)</f>
        <v>637.91999999999996</v>
      </c>
      <c r="V7" s="45">
        <f>ROUND('TE BE'!$AA$9,2)</f>
        <v>182.45</v>
      </c>
    </row>
    <row r="8" spans="1:22" ht="11.25" customHeight="1" x14ac:dyDescent="0.3">
      <c r="A8" s="134"/>
      <c r="B8" s="134"/>
      <c r="C8" s="134"/>
      <c r="D8" s="94" t="s">
        <v>630</v>
      </c>
      <c r="E8" s="45">
        <f ca="1">ROUND('TUSD BE'!$AM$6+'TUSD BF'!$AM$6+'TUSD CVA'!$AM$6,2)</f>
        <v>68.86</v>
      </c>
      <c r="F8" s="45">
        <f ca="1">ROUND('TUSD BE'!$AM$8+'TUSD BF'!$AM$8+'TUSD CVA'!$AM$8,2)</f>
        <v>14.6</v>
      </c>
      <c r="G8" s="45">
        <v>0</v>
      </c>
      <c r="H8" s="45">
        <f ca="1">ROUND('TUSD BE'!$AM$6,2)</f>
        <v>63.23</v>
      </c>
      <c r="I8" s="45">
        <f ca="1">ROUND('TUSD BE'!$AM$8,2)</f>
        <v>12.26</v>
      </c>
      <c r="J8" s="45">
        <v>0</v>
      </c>
      <c r="L8" s="138"/>
      <c r="M8" s="94" t="s">
        <v>638</v>
      </c>
      <c r="N8" s="94" t="s">
        <v>636</v>
      </c>
      <c r="O8" s="94" t="s">
        <v>636</v>
      </c>
      <c r="P8" s="94" t="s">
        <v>632</v>
      </c>
      <c r="Q8" s="45">
        <v>0</v>
      </c>
      <c r="R8" s="45">
        <f ca="1">ROUND('TUSD BE'!$AM$25+'TUSD BF'!$AM$25+'TUSD CVA'!$AM$25,2)</f>
        <v>1046.47</v>
      </c>
      <c r="S8" s="45">
        <f>ROUND('TE BE'!$AA$15+'TE BF'!$AA$15+'TE CVA'!$AA$15,2)</f>
        <v>225.79</v>
      </c>
      <c r="T8" s="45">
        <v>0</v>
      </c>
      <c r="U8" s="45">
        <f ca="1">ROUND('TUSD BE'!$AM$25,2)</f>
        <v>974.7</v>
      </c>
      <c r="V8" s="45">
        <f>ROUND('TE BE'!$AA$15,2)</f>
        <v>182.45</v>
      </c>
    </row>
    <row r="9" spans="1:22" ht="11.25" customHeight="1" x14ac:dyDescent="0.3">
      <c r="A9" s="134"/>
      <c r="B9" s="133" t="s">
        <v>37</v>
      </c>
      <c r="C9" s="133" t="s">
        <v>25</v>
      </c>
      <c r="D9" s="94" t="s">
        <v>632</v>
      </c>
      <c r="E9" s="45">
        <f ca="1">ROUND('TUSD BE'!$AM$10+'TUSD BF'!$AM$10+'TUSD CVA'!$AM$10,2)</f>
        <v>68.86</v>
      </c>
      <c r="F9" s="45">
        <v>0</v>
      </c>
      <c r="G9" s="45">
        <v>0</v>
      </c>
      <c r="H9" s="45">
        <f ca="1">ROUND('TUSD BE'!$AM$10,2)</f>
        <v>63.23</v>
      </c>
      <c r="I9" s="45">
        <v>0</v>
      </c>
      <c r="J9" s="45">
        <v>0</v>
      </c>
      <c r="L9" s="138"/>
      <c r="M9" s="94" t="s">
        <v>640</v>
      </c>
      <c r="N9" s="94" t="s">
        <v>636</v>
      </c>
      <c r="O9" s="94" t="s">
        <v>636</v>
      </c>
      <c r="P9" s="94" t="s">
        <v>632</v>
      </c>
      <c r="Q9" s="45">
        <v>0</v>
      </c>
      <c r="R9" s="45">
        <f ca="1">ROUND('TUSD BE'!$AM$20+'TUSD BF'!$AM$20+'TUSD CVA'!$AM$20,2)</f>
        <v>1046.47</v>
      </c>
      <c r="S9" s="45">
        <f>ROUND('TE BE'!$AA$10+'TE BF'!$AA$10+'TE CVA'!$AA$10,2)</f>
        <v>225.79</v>
      </c>
      <c r="T9" s="45">
        <v>0</v>
      </c>
      <c r="U9" s="45">
        <f ca="1">ROUND('TUSD BE'!$AM$20,2)</f>
        <v>974.7</v>
      </c>
      <c r="V9" s="45">
        <f>ROUND('TE BE'!$AA$10,2)</f>
        <v>182.45</v>
      </c>
    </row>
    <row r="10" spans="1:22" ht="11.25" customHeight="1" x14ac:dyDescent="0.3">
      <c r="A10" s="134"/>
      <c r="B10" s="134"/>
      <c r="C10" s="134"/>
      <c r="D10" s="94" t="s">
        <v>629</v>
      </c>
      <c r="E10" s="45">
        <v>0</v>
      </c>
      <c r="F10" s="45">
        <f ca="1">ROUND('TUSD BE'!$AM$11+'TUSD BF'!$AM$11+'TUSD CVA'!$AM$11,2)</f>
        <v>4852.68</v>
      </c>
      <c r="G10" s="45">
        <f>ROUND('TE BE'!$AA$5+'TE BF'!$AA$5+'TE CVA'!$AA$5,2)</f>
        <v>225.79</v>
      </c>
      <c r="H10" s="45">
        <v>0</v>
      </c>
      <c r="I10" s="45">
        <f ca="1">ROUND('TUSD BE'!$AM$11,2)</f>
        <v>4439.16</v>
      </c>
      <c r="J10" s="45">
        <f>ROUND('TE BE'!$AA$5,2)</f>
        <v>182.45</v>
      </c>
      <c r="L10" s="138"/>
      <c r="M10" s="94" t="s">
        <v>638</v>
      </c>
      <c r="N10" s="94" t="s">
        <v>636</v>
      </c>
      <c r="O10" s="94" t="s">
        <v>639</v>
      </c>
      <c r="P10" s="94" t="s">
        <v>632</v>
      </c>
      <c r="Q10" s="45">
        <v>0</v>
      </c>
      <c r="R10" s="45">
        <f ca="1">ROUND('TUSD BE'!$AM$26+'TUSD BF'!$AM$26+'TUSD CVA'!$AM$26,2)</f>
        <v>905.05</v>
      </c>
      <c r="S10" s="45">
        <f>ROUND('TE BE'!$AA$16+'TE BF'!$AA$16+'TE CVA'!$AA$16,2)</f>
        <v>225.79</v>
      </c>
      <c r="T10" s="45">
        <v>0</v>
      </c>
      <c r="U10" s="45">
        <f ca="1">ROUND('TUSD BE'!$AM$26,2)</f>
        <v>825.13</v>
      </c>
      <c r="V10" s="45">
        <f>ROUND('TE BE'!$AA$16,2)</f>
        <v>182.45</v>
      </c>
    </row>
    <row r="11" spans="1:22" ht="11.25" customHeight="1" x14ac:dyDescent="0.3">
      <c r="A11" s="134"/>
      <c r="B11" s="134"/>
      <c r="C11" s="134"/>
      <c r="D11" s="94" t="s">
        <v>630</v>
      </c>
      <c r="E11" s="45">
        <v>0</v>
      </c>
      <c r="F11" s="45">
        <f ca="1">ROUND('TUSD BE'!$AM$12+'TUSD BF'!$AM$12+'TUSD CVA'!$AM$12,2)</f>
        <v>135.58000000000001</v>
      </c>
      <c r="G11" s="45">
        <f>ROUND('TE BE'!$AA$6+'TE BF'!$AA$6+'TE CVA'!$AA$6,2)</f>
        <v>225.79</v>
      </c>
      <c r="H11" s="45">
        <v>0</v>
      </c>
      <c r="I11" s="45">
        <f ca="1">ROUND('TUSD BE'!$AM$12,2)</f>
        <v>140.18</v>
      </c>
      <c r="J11" s="45">
        <f>ROUND('TE BE'!$AA$6,2)</f>
        <v>182.45</v>
      </c>
      <c r="L11" s="139"/>
      <c r="M11" s="94" t="s">
        <v>640</v>
      </c>
      <c r="N11" s="94" t="s">
        <v>636</v>
      </c>
      <c r="O11" s="94" t="s">
        <v>639</v>
      </c>
      <c r="P11" s="94" t="s">
        <v>632</v>
      </c>
      <c r="Q11" s="45">
        <v>0</v>
      </c>
      <c r="R11" s="45">
        <f ca="1">ROUND('TUSD BE'!$AM$21+'TUSD BF'!$AM$21+'TUSD CVA'!$AM$21,2)</f>
        <v>905.05</v>
      </c>
      <c r="S11" s="45">
        <f>ROUND('TE BE'!$AA$11+'TE BF'!$AA$11+'TE CVA'!$AA$11,2)</f>
        <v>225.79</v>
      </c>
      <c r="T11" s="45">
        <v>0</v>
      </c>
      <c r="U11" s="45">
        <f ca="1">ROUND('TUSD BE'!$AM$21,2)</f>
        <v>825.13</v>
      </c>
      <c r="V11" s="45">
        <f>ROUND('TE BE'!$AA$11,2)</f>
        <v>182.45</v>
      </c>
    </row>
    <row r="12" spans="1:22" ht="11.25" customHeight="1" x14ac:dyDescent="0.3">
      <c r="A12" s="134"/>
      <c r="B12" s="133" t="s">
        <v>633</v>
      </c>
      <c r="C12" s="133" t="s">
        <v>25</v>
      </c>
      <c r="D12" s="94" t="s">
        <v>632</v>
      </c>
      <c r="E12" s="45">
        <f ca="1">ROUND('TUSD BE'!$AM$10+'TUSD BF'!$AM$10+'TUSD CVA'!$AM$10,2)</f>
        <v>68.86</v>
      </c>
      <c r="F12" s="45">
        <v>0</v>
      </c>
      <c r="G12" s="45">
        <v>0</v>
      </c>
      <c r="H12" s="45">
        <f ca="1">ROUND('TUSD BE'!$AM$10,2)</f>
        <v>63.23</v>
      </c>
      <c r="I12" s="45">
        <v>0</v>
      </c>
      <c r="J12" s="45">
        <v>0</v>
      </c>
      <c r="L12" s="137" t="s">
        <v>40</v>
      </c>
      <c r="M12" s="137" t="s">
        <v>635</v>
      </c>
      <c r="N12" s="137" t="s">
        <v>641</v>
      </c>
      <c r="O12" s="137" t="s">
        <v>642</v>
      </c>
      <c r="P12" s="94" t="s">
        <v>629</v>
      </c>
      <c r="Q12" s="45">
        <v>0</v>
      </c>
      <c r="R12" s="45">
        <f ca="1">ROUND(('TUSD BE'!$AM$30+'TUSD BF'!$AM$30+'TUSD CVA'!$AM$30)*(1-CUSTOS!$M$38),2)</f>
        <v>2632.44</v>
      </c>
      <c r="S12" s="45">
        <f>ROUND(('TE BE'!$AA$20+'TE BF'!$AA$20+'TE CVA'!$AA$20)*(1-CUSTOS!$M$38),2)</f>
        <v>212.25</v>
      </c>
      <c r="T12" s="45">
        <v>0</v>
      </c>
      <c r="U12" s="45">
        <f ca="1">ROUND('TUSD BE'!$AM$30*(1-CUSTOS!$M$38),2)</f>
        <v>2423.69</v>
      </c>
      <c r="V12" s="45">
        <f>ROUND('TE BE'!$AA$20*(1-CUSTOS!$M$38),2)</f>
        <v>171.5</v>
      </c>
    </row>
    <row r="13" spans="1:22" ht="11.25" customHeight="1" x14ac:dyDescent="0.3">
      <c r="A13" s="134"/>
      <c r="B13" s="134"/>
      <c r="C13" s="134"/>
      <c r="D13" s="94" t="s">
        <v>629</v>
      </c>
      <c r="E13" s="45">
        <v>0</v>
      </c>
      <c r="F13" s="45">
        <f ca="1">ROUND('TUSD BE'!$AM$13+'TUSD BF'!$AM$13+'TUSD CVA'!$AM$13,2)</f>
        <v>4731.6899999999996</v>
      </c>
      <c r="G13" s="45">
        <v>0</v>
      </c>
      <c r="H13" s="45">
        <v>0</v>
      </c>
      <c r="I13" s="45">
        <f ca="1">ROUND('TUSD BE'!$AM$13,2)</f>
        <v>4311.2299999999996</v>
      </c>
      <c r="J13" s="45">
        <v>0</v>
      </c>
      <c r="L13" s="138"/>
      <c r="M13" s="138"/>
      <c r="N13" s="138"/>
      <c r="O13" s="138"/>
      <c r="P13" s="94" t="s">
        <v>637</v>
      </c>
      <c r="Q13" s="45">
        <v>0</v>
      </c>
      <c r="R13" s="45">
        <f ca="1">ROUND(('TUSD BE'!$AM$31+'TUSD BF'!$AM$31+'TUSD CVA'!$AM$31)*(1-CUSTOS!$M$38),2)</f>
        <v>1643.18</v>
      </c>
      <c r="S13" s="45">
        <f>ROUND(('TE BE'!$AA$21+'TE BF'!$AA$21+'TE CVA'!$AA$21)*(1-CUSTOS!$M$38),2)</f>
        <v>212.25</v>
      </c>
      <c r="T13" s="45">
        <v>0</v>
      </c>
      <c r="U13" s="45">
        <f ca="1">ROUND('TUSD BE'!$AM$31*(1-CUSTOS!$M$38),2)</f>
        <v>1519.2</v>
      </c>
      <c r="V13" s="45">
        <f>ROUND('TE BE'!$AA$21*(1-CUSTOS!$M$38),2)</f>
        <v>171.5</v>
      </c>
    </row>
    <row r="14" spans="1:22" ht="11.25" customHeight="1" x14ac:dyDescent="0.3">
      <c r="A14" s="134"/>
      <c r="B14" s="134"/>
      <c r="C14" s="134"/>
      <c r="D14" s="94" t="s">
        <v>630</v>
      </c>
      <c r="E14" s="45">
        <v>0</v>
      </c>
      <c r="F14" s="45">
        <f ca="1">ROUND('TUSD BE'!$AM$14+'TUSD BF'!$AM$14+'TUSD CVA'!$AM$14,2)</f>
        <v>14.6</v>
      </c>
      <c r="G14" s="45">
        <v>0</v>
      </c>
      <c r="H14" s="45">
        <v>0</v>
      </c>
      <c r="I14" s="45">
        <f ca="1">ROUND('TUSD BE'!$AM$14,2)</f>
        <v>12.26</v>
      </c>
      <c r="J14" s="45">
        <v>0</v>
      </c>
      <c r="L14" s="138"/>
      <c r="M14" s="139"/>
      <c r="N14" s="139"/>
      <c r="O14" s="139"/>
      <c r="P14" s="94" t="s">
        <v>630</v>
      </c>
      <c r="Q14" s="45">
        <v>0</v>
      </c>
      <c r="R14" s="45">
        <f ca="1">ROUND(('TUSD BE'!$AM$32+'TUSD BF'!$AM$32+'TUSD CVA'!$AM$32)*(1-CUSTOS!$M$38),2)</f>
        <v>653.92999999999995</v>
      </c>
      <c r="S14" s="45">
        <f>ROUND(('TE BE'!$AA$22+'TE BF'!$AA$22+'TE CVA'!$AA$22)*(1-CUSTOS!$M$38),2)</f>
        <v>212.25</v>
      </c>
      <c r="T14" s="45">
        <v>0</v>
      </c>
      <c r="U14" s="45">
        <f ca="1">ROUND('TUSD BE'!$AM$32*(1-CUSTOS!$M$38),2)</f>
        <v>614.72</v>
      </c>
      <c r="V14" s="45">
        <f>ROUND('TE BE'!$AA$22*(1-CUSTOS!$M$38),2)</f>
        <v>171.5</v>
      </c>
    </row>
    <row r="15" spans="1:22" ht="11.25" customHeight="1" x14ac:dyDescent="0.3">
      <c r="A15" s="134"/>
      <c r="B15" s="94" t="s">
        <v>76</v>
      </c>
      <c r="C15" s="94" t="s">
        <v>25</v>
      </c>
      <c r="D15" s="94" t="s">
        <v>632</v>
      </c>
      <c r="E15" s="45">
        <f ca="1">ROUND('TUSD BE'!$AM$9+'TUSD BF'!$AM$9+'TUSD CVA'!$AM$9,2)</f>
        <v>12.45</v>
      </c>
      <c r="F15" s="45">
        <v>0</v>
      </c>
      <c r="G15" s="45">
        <v>0</v>
      </c>
      <c r="H15" s="45">
        <f ca="1">ROUND('TUSD BE'!$AM$9,2)</f>
        <v>12.87</v>
      </c>
      <c r="I15" s="45">
        <v>0</v>
      </c>
      <c r="J15" s="45">
        <v>0</v>
      </c>
      <c r="L15" s="138"/>
      <c r="M15" s="94" t="s">
        <v>638</v>
      </c>
      <c r="N15" s="94" t="s">
        <v>641</v>
      </c>
      <c r="O15" s="94" t="s">
        <v>642</v>
      </c>
      <c r="P15" s="94" t="s">
        <v>632</v>
      </c>
      <c r="Q15" s="45">
        <v>0</v>
      </c>
      <c r="R15" s="45">
        <f ca="1">ROUND(('TUSD BE'!$AM$42+'TUSD BF'!$AM$42+'TUSD CVA'!$AM$42)*(1-CUSTOS!$M$38),2)</f>
        <v>983.68</v>
      </c>
      <c r="S15" s="45">
        <f>ROUND(('TE BE'!$AA$32+'TE BF'!$AA$32+'TE CVA'!$AA$32)*(1-CUSTOS!$M$38),2)</f>
        <v>212.25</v>
      </c>
      <c r="T15" s="45">
        <v>0</v>
      </c>
      <c r="U15" s="45">
        <f ca="1">ROUND(('TUSD BE'!$AM$42)*(1-CUSTOS!$M$38),2)</f>
        <v>916.22</v>
      </c>
      <c r="V15" s="45">
        <f>ROUND(('TE BE'!$AA$32)*(1-CUSTOS!$M$38),2)</f>
        <v>171.5</v>
      </c>
    </row>
    <row r="16" spans="1:22" ht="11.25" customHeight="1" x14ac:dyDescent="0.3">
      <c r="L16" s="138"/>
      <c r="M16" s="94" t="s">
        <v>640</v>
      </c>
      <c r="N16" s="94" t="s">
        <v>641</v>
      </c>
      <c r="O16" s="94" t="s">
        <v>642</v>
      </c>
      <c r="P16" s="94" t="s">
        <v>632</v>
      </c>
      <c r="Q16" s="45">
        <v>0</v>
      </c>
      <c r="R16" s="45">
        <f ca="1">ROUND(('TUSD BE'!$AM$33+'TUSD BF'!$AM$33+'TUSD CVA'!$AM$33)*(1-CUSTOS!$M$38),2)</f>
        <v>983.68</v>
      </c>
      <c r="S16" s="45">
        <f>ROUND(('TE BE'!$AA$23+'TE BF'!$AA$23+'TE CVA'!$AA$23)*(1-CUSTOS!$M$38),2)</f>
        <v>212.25</v>
      </c>
      <c r="T16" s="45">
        <v>0</v>
      </c>
      <c r="U16" s="45">
        <f ca="1">ROUND(('TUSD BE'!$AM$33)*(1-CUSTOS!$M$38),2)</f>
        <v>916.22</v>
      </c>
      <c r="V16" s="45">
        <f>ROUND(('TE BE'!$AA$23)*(1-CUSTOS!$M$38),2)</f>
        <v>171.5</v>
      </c>
    </row>
    <row r="17" spans="12:22" ht="11.25" customHeight="1" x14ac:dyDescent="0.3">
      <c r="L17" s="138"/>
      <c r="M17" s="137" t="s">
        <v>635</v>
      </c>
      <c r="N17" s="137" t="s">
        <v>641</v>
      </c>
      <c r="O17" s="137" t="s">
        <v>643</v>
      </c>
      <c r="P17" s="94" t="s">
        <v>629</v>
      </c>
      <c r="Q17" s="45">
        <v>0</v>
      </c>
      <c r="R17" s="45">
        <f ca="1">ROUND(('TUSD BE'!$AM$34+'TUSD BF'!$AM$34+'TUSD CVA'!$AM$34)*(1-CUSTOS!$M$39),2)</f>
        <v>2632.44</v>
      </c>
      <c r="S17" s="45">
        <f>ROUND(('TE BE'!$AA$24+'TE BF'!$AA$24+'TE CVA'!$AA$24)*(1-CUSTOS!$M$39),2)</f>
        <v>212.25</v>
      </c>
      <c r="T17" s="45">
        <v>0</v>
      </c>
      <c r="U17" s="45">
        <f ca="1">ROUND('TUSD BE'!$AM$34*(1-CUSTOS!$M$39),2)</f>
        <v>2423.69</v>
      </c>
      <c r="V17" s="45">
        <f>ROUND('TE BE'!$AA$24*(1-CUSTOS!$M$39),2)</f>
        <v>171.5</v>
      </c>
    </row>
    <row r="18" spans="12:22" ht="11.25" customHeight="1" x14ac:dyDescent="0.3">
      <c r="L18" s="138"/>
      <c r="M18" s="138"/>
      <c r="N18" s="138"/>
      <c r="O18" s="138"/>
      <c r="P18" s="94" t="s">
        <v>637</v>
      </c>
      <c r="Q18" s="45">
        <v>0</v>
      </c>
      <c r="R18" s="45">
        <f ca="1">ROUND(('TUSD BE'!$AM$35+'TUSD BF'!$AM$35+'TUSD CVA'!$AM$35)*(1-CUSTOS!$M$39),2)</f>
        <v>1643.18</v>
      </c>
      <c r="S18" s="45">
        <f>ROUND(('TE BE'!$AA$25+'TE BF'!$AA$25+'TE CVA'!$AA$25)*(1-CUSTOS!$M$39),2)</f>
        <v>212.25</v>
      </c>
      <c r="T18" s="45">
        <v>0</v>
      </c>
      <c r="U18" s="45">
        <f ca="1">ROUND('TUSD BE'!$AM$35*(1-CUSTOS!$M$39),2)</f>
        <v>1519.2</v>
      </c>
      <c r="V18" s="45">
        <f>ROUND('TE BE'!$AA$25*(1-CUSTOS!$M$39),2)</f>
        <v>171.5</v>
      </c>
    </row>
    <row r="19" spans="12:22" ht="11.25" customHeight="1" x14ac:dyDescent="0.3">
      <c r="L19" s="138"/>
      <c r="M19" s="139"/>
      <c r="N19" s="139"/>
      <c r="O19" s="139"/>
      <c r="P19" s="94" t="s">
        <v>630</v>
      </c>
      <c r="Q19" s="45">
        <v>0</v>
      </c>
      <c r="R19" s="45">
        <f ca="1">ROUND(('TUSD BE'!$AM$36+'TUSD BF'!$AM$36+'TUSD CVA'!$AM$36)*(1-CUSTOS!$M$39),2)</f>
        <v>653.92999999999995</v>
      </c>
      <c r="S19" s="45">
        <f>ROUND(('TE BE'!$AA$26+'TE BF'!$AA$26+'TE CVA'!$AA$26)*(1-CUSTOS!$M$39),2)</f>
        <v>212.25</v>
      </c>
      <c r="T19" s="45">
        <v>0</v>
      </c>
      <c r="U19" s="45">
        <f ca="1">ROUND('TUSD BE'!$AM$36*(1-CUSTOS!$M$39),2)</f>
        <v>614.72</v>
      </c>
      <c r="V19" s="45">
        <f>ROUND('TE BE'!$AA$26*(1-CUSTOS!$M$39),2)</f>
        <v>171.5</v>
      </c>
    </row>
    <row r="20" spans="12:22" ht="11.25" customHeight="1" x14ac:dyDescent="0.3">
      <c r="L20" s="138"/>
      <c r="M20" s="94" t="s">
        <v>638</v>
      </c>
      <c r="N20" s="94" t="s">
        <v>641</v>
      </c>
      <c r="O20" s="94" t="s">
        <v>643</v>
      </c>
      <c r="P20" s="94" t="s">
        <v>632</v>
      </c>
      <c r="Q20" s="45">
        <v>0</v>
      </c>
      <c r="R20" s="45">
        <f ca="1">ROUND(('TUSD BE'!$AM$42+'TUSD BF'!$AM$42+'TUSD CVA'!$AM$42)*(1-CUSTOS!$M$39),2)</f>
        <v>983.68</v>
      </c>
      <c r="S20" s="45">
        <f>ROUND(('TE BE'!$AA$32+'TE BF'!$AA$32+'TE CVA'!$AA$32)*(1-CUSTOS!$M$39),2)</f>
        <v>212.25</v>
      </c>
      <c r="T20" s="45">
        <v>0</v>
      </c>
      <c r="U20" s="45">
        <f ca="1">ROUND(('TUSD BE'!$AM$42)*(1-CUSTOS!$M$39),2)</f>
        <v>916.22</v>
      </c>
      <c r="V20" s="45">
        <f>ROUND(('TE BE'!$AA$32)*(1-CUSTOS!$M$39),2)</f>
        <v>171.5</v>
      </c>
    </row>
    <row r="21" spans="12:22" ht="11.25" customHeight="1" x14ac:dyDescent="0.3">
      <c r="L21" s="138"/>
      <c r="M21" s="94" t="s">
        <v>640</v>
      </c>
      <c r="N21" s="94" t="s">
        <v>641</v>
      </c>
      <c r="O21" s="94" t="s">
        <v>643</v>
      </c>
      <c r="P21" s="94" t="s">
        <v>632</v>
      </c>
      <c r="Q21" s="45">
        <v>0</v>
      </c>
      <c r="R21" s="45">
        <f ca="1">ROUND(('TUSD BE'!$AM$33+'TUSD BF'!$AM$33+'TUSD CVA'!$AM$33)*(1-CUSTOS!$M$39),2)</f>
        <v>983.68</v>
      </c>
      <c r="S21" s="45">
        <f>ROUND(('TE BE'!$AA$23+'TE BF'!$AA$23+'TE CVA'!$AA$23)*(1-CUSTOS!$M$39),2)</f>
        <v>212.25</v>
      </c>
      <c r="T21" s="45">
        <v>0</v>
      </c>
      <c r="U21" s="45">
        <f ca="1">ROUND(('TUSD BE'!$AM$33)*(1-CUSTOS!$M$39),2)</f>
        <v>916.22</v>
      </c>
      <c r="V21" s="45">
        <f>ROUND(('TE BE'!$AA$23)*(1-CUSTOS!$M$39),2)</f>
        <v>171.5</v>
      </c>
    </row>
    <row r="22" spans="12:22" ht="11.25" customHeight="1" x14ac:dyDescent="0.3">
      <c r="L22" s="138"/>
      <c r="M22" s="137" t="s">
        <v>635</v>
      </c>
      <c r="N22" s="137" t="s">
        <v>641</v>
      </c>
      <c r="O22" s="137" t="s">
        <v>644</v>
      </c>
      <c r="P22" s="94" t="s">
        <v>629</v>
      </c>
      <c r="Q22" s="45">
        <v>0</v>
      </c>
      <c r="R22" s="45">
        <f ca="1">ROUND(('TUSD BE'!$AM$38+'TUSD BF'!$AM$38+'TUSD CVA'!$AM$38)*(1-CUSTOS!$M$40),2)</f>
        <v>2576.4299999999998</v>
      </c>
      <c r="S22" s="45">
        <f>ROUND(('TE BE'!$AA$28+'TE BF'!$AA$28+'TE CVA'!$AA$28)*(1-CUSTOS!$M$40),2)</f>
        <v>207.73</v>
      </c>
      <c r="T22" s="45">
        <v>0</v>
      </c>
      <c r="U22" s="45">
        <f ca="1">ROUND('TUSD BE'!$AM$38*(1-CUSTOS!$M$40),2)</f>
        <v>2372.13</v>
      </c>
      <c r="V22" s="45">
        <f>ROUND('TE BE'!$AA$28*(1-CUSTOS!$M$40),2)</f>
        <v>167.85</v>
      </c>
    </row>
    <row r="23" spans="12:22" ht="11.25" customHeight="1" x14ac:dyDescent="0.3">
      <c r="L23" s="138"/>
      <c r="M23" s="138"/>
      <c r="N23" s="138"/>
      <c r="O23" s="138"/>
      <c r="P23" s="94" t="s">
        <v>637</v>
      </c>
      <c r="Q23" s="45">
        <v>0</v>
      </c>
      <c r="R23" s="45">
        <f ca="1">ROUND(('TUSD BE'!$AM$39+'TUSD BF'!$AM$39+'TUSD CVA'!$AM$39)*(1-CUSTOS!$M$40),2)</f>
        <v>1608.22</v>
      </c>
      <c r="S23" s="45">
        <f>ROUND(('TE BE'!$AA$29+'TE BF'!$AA$29+'TE CVA'!$AA$29)*(1-CUSTOS!$M$40),2)</f>
        <v>207.73</v>
      </c>
      <c r="T23" s="45">
        <v>0</v>
      </c>
      <c r="U23" s="45">
        <f ca="1">ROUND('TUSD BE'!$AM$39*(1-CUSTOS!$M$40),2)</f>
        <v>1486.88</v>
      </c>
      <c r="V23" s="45">
        <f>ROUND('TE BE'!$AA$29*(1-CUSTOS!$M$40),2)</f>
        <v>167.85</v>
      </c>
    </row>
    <row r="24" spans="12:22" ht="11.25" customHeight="1" x14ac:dyDescent="0.3">
      <c r="L24" s="138"/>
      <c r="M24" s="139"/>
      <c r="N24" s="139"/>
      <c r="O24" s="139"/>
      <c r="P24" s="94" t="s">
        <v>630</v>
      </c>
      <c r="Q24" s="45">
        <v>0</v>
      </c>
      <c r="R24" s="45">
        <f ca="1">ROUND(('TUSD BE'!$AM$40+'TUSD BF'!$AM$40+'TUSD CVA'!$AM$40)*(1-CUSTOS!$M$40),2)</f>
        <v>640.02</v>
      </c>
      <c r="S24" s="45">
        <f>ROUND(('TE BE'!$AA$30+'TE BF'!$AA$30+'TE CVA'!$AA$30)*(1-CUSTOS!$M$40),2)</f>
        <v>207.73</v>
      </c>
      <c r="T24" s="45">
        <v>0</v>
      </c>
      <c r="U24" s="45">
        <f ca="1">ROUND('TUSD BE'!$AM$40*(1-CUSTOS!$M$40),2)</f>
        <v>601.64</v>
      </c>
      <c r="V24" s="45">
        <f>ROUND('TE BE'!$AA$30*(1-CUSTOS!$M$40),2)</f>
        <v>167.85</v>
      </c>
    </row>
    <row r="25" spans="12:22" ht="11.25" customHeight="1" x14ac:dyDescent="0.3">
      <c r="L25" s="138"/>
      <c r="M25" s="94" t="s">
        <v>638</v>
      </c>
      <c r="N25" s="94" t="s">
        <v>641</v>
      </c>
      <c r="O25" s="94" t="s">
        <v>644</v>
      </c>
      <c r="P25" s="94" t="s">
        <v>632</v>
      </c>
      <c r="Q25" s="45">
        <v>0</v>
      </c>
      <c r="R25" s="45">
        <f ca="1">ROUND(('TUSD BE'!$AM$42+'TUSD BF'!$AM$42+'TUSD CVA'!$AM$42)*(1-CUSTOS!$M$40),2)</f>
        <v>962.75</v>
      </c>
      <c r="S25" s="45">
        <f>ROUND(('TE BE'!$AA$32+'TE BF'!$AA$32+'TE CVA'!$AA$32)*(1-CUSTOS!$M$40),2)</f>
        <v>207.73</v>
      </c>
      <c r="T25" s="45">
        <v>0</v>
      </c>
      <c r="U25" s="45">
        <f ca="1">ROUND(('TUSD BE'!$AM$42)*(1-CUSTOS!$M$40),2)</f>
        <v>896.72</v>
      </c>
      <c r="V25" s="45">
        <f>ROUND(('TE BE'!$AA$32)*(1-CUSTOS!$M$40),2)</f>
        <v>167.85</v>
      </c>
    </row>
    <row r="26" spans="12:22" ht="11.25" customHeight="1" x14ac:dyDescent="0.3">
      <c r="L26" s="139"/>
      <c r="M26" s="94" t="s">
        <v>640</v>
      </c>
      <c r="N26" s="94" t="s">
        <v>641</v>
      </c>
      <c r="O26" s="94" t="s">
        <v>644</v>
      </c>
      <c r="P26" s="94" t="s">
        <v>632</v>
      </c>
      <c r="Q26" s="45">
        <v>0</v>
      </c>
      <c r="R26" s="45">
        <f ca="1">ROUND(('TUSD BE'!$AM$33+'TUSD BF'!$AM$33+'TUSD CVA'!$AM$33)*(1-CUSTOS!$M$40),2)</f>
        <v>962.75</v>
      </c>
      <c r="S26" s="45">
        <f>ROUND(('TE BE'!$AA$23+'TE BF'!$AA$23+'TE CVA'!$AA$23)*(1-CUSTOS!$M$40),2)</f>
        <v>207.73</v>
      </c>
      <c r="T26" s="45">
        <v>0</v>
      </c>
      <c r="U26" s="45">
        <f ca="1">ROUND(('TUSD BE'!$AM$33)*(1-CUSTOS!$M$40),2)</f>
        <v>896.72</v>
      </c>
      <c r="V26" s="45">
        <f>ROUND(('TE BE'!$AA$23)*(1-CUSTOS!$M$40),2)</f>
        <v>167.85</v>
      </c>
    </row>
    <row r="27" spans="12:22" ht="11.25" customHeight="1" x14ac:dyDescent="0.3">
      <c r="L27" s="137" t="s">
        <v>33</v>
      </c>
      <c r="M27" s="137" t="s">
        <v>635</v>
      </c>
      <c r="N27" s="137" t="s">
        <v>632</v>
      </c>
      <c r="O27" s="137" t="s">
        <v>632</v>
      </c>
      <c r="P27" s="94" t="s">
        <v>629</v>
      </c>
      <c r="Q27" s="45">
        <v>0</v>
      </c>
      <c r="R27" s="45">
        <f ca="1">ROUND(('TUSD BE'!$AM$45+'TUSD BF'!$AM$45+'TUSD CVA'!$AM$45)*(1-CUSTOS!$M$31),2)</f>
        <v>3151.26</v>
      </c>
      <c r="S27" s="45">
        <f>ROUND(('TE BE'!$AA$35+'TE BF'!$AA$35+'TE CVA'!$AA$35)*(1-CUSTOS!$M$31),2)</f>
        <v>225.79</v>
      </c>
      <c r="T27" s="45">
        <v>0</v>
      </c>
      <c r="U27" s="45">
        <f ca="1">ROUND('TUSD BE'!$AM$45*(1-CUSTOS!$M$31),2)</f>
        <v>2899.14</v>
      </c>
      <c r="V27" s="45">
        <f>ROUND('TE BE'!$AA$35*(1-CUSTOS!$M$31),2)</f>
        <v>182.45</v>
      </c>
    </row>
    <row r="28" spans="12:22" ht="11.25" customHeight="1" x14ac:dyDescent="0.3">
      <c r="L28" s="138"/>
      <c r="M28" s="138"/>
      <c r="N28" s="138"/>
      <c r="O28" s="138"/>
      <c r="P28" s="94" t="s">
        <v>637</v>
      </c>
      <c r="Q28" s="45">
        <v>0</v>
      </c>
      <c r="R28" s="45">
        <f ca="1">ROUND(('TUSD BE'!$AM$46+'TUSD BF'!$AM$46+'TUSD CVA'!$AM$46)*(1-CUSTOS!$M$31),2)</f>
        <v>1958.55</v>
      </c>
      <c r="S28" s="45">
        <f>ROUND(('TE BE'!$AA$36+'TE BF'!$AA$36+'TE CVA'!$AA$36)*(1-CUSTOS!$M$31),2)</f>
        <v>225.79</v>
      </c>
      <c r="T28" s="45">
        <v>0</v>
      </c>
      <c r="U28" s="45">
        <f ca="1">ROUND('TUSD BE'!$AM$46*(1-CUSTOS!$M$31),2)</f>
        <v>1808.62</v>
      </c>
      <c r="V28" s="45">
        <f>ROUND('TE BE'!$AA$36*(1-CUSTOS!$M$31),2)</f>
        <v>182.45</v>
      </c>
    </row>
    <row r="29" spans="12:22" ht="11.25" customHeight="1" x14ac:dyDescent="0.3">
      <c r="L29" s="138"/>
      <c r="M29" s="139"/>
      <c r="N29" s="139"/>
      <c r="O29" s="139"/>
      <c r="P29" s="94" t="s">
        <v>630</v>
      </c>
      <c r="Q29" s="45">
        <v>0</v>
      </c>
      <c r="R29" s="45">
        <f ca="1">ROUND(('TUSD BE'!$AM$47+'TUSD BF'!$AM$47+'TUSD CVA'!$AM$47)*(1-CUSTOS!$M$31),2)</f>
        <v>765.83</v>
      </c>
      <c r="S29" s="45">
        <f>ROUND(('TE BE'!$AA$37+'TE BF'!$AA$37+'TE CVA'!$AA$37)*(1-CUSTOS!$M$31),2)</f>
        <v>225.79</v>
      </c>
      <c r="T29" s="45">
        <v>0</v>
      </c>
      <c r="U29" s="45">
        <f ca="1">ROUND('TUSD BE'!$AM$47*(1-CUSTOS!$M$31),2)</f>
        <v>718.11</v>
      </c>
      <c r="V29" s="45">
        <f>ROUND('TE BE'!$AA$37*(1-CUSTOS!$M$31),2)</f>
        <v>182.45</v>
      </c>
    </row>
    <row r="30" spans="12:22" ht="11.25" customHeight="1" x14ac:dyDescent="0.3">
      <c r="L30" s="138"/>
      <c r="M30" s="94" t="s">
        <v>638</v>
      </c>
      <c r="N30" s="94" t="s">
        <v>632</v>
      </c>
      <c r="O30" s="94" t="s">
        <v>632</v>
      </c>
      <c r="P30" s="94" t="s">
        <v>632</v>
      </c>
      <c r="Q30" s="45">
        <v>0</v>
      </c>
      <c r="R30" s="45">
        <f ca="1">ROUND(('TUSD BE'!$AM$49+'TUSD BF'!$AM$49+'TUSD CVA'!$AM$49)*(1-CUSTOS!$M$31),2)</f>
        <v>1046.47</v>
      </c>
      <c r="S30" s="45">
        <f>ROUND(('TE BE'!$AA$39+'TE BF'!$AA$39+'TE CVA'!$AA$39)*(1-CUSTOS!$M$31),2)</f>
        <v>225.79</v>
      </c>
      <c r="T30" s="45">
        <v>0</v>
      </c>
      <c r="U30" s="45">
        <f ca="1">ROUND(('TUSD BE'!$AM$49)*(1-CUSTOS!$M$31),2)</f>
        <v>974.7</v>
      </c>
      <c r="V30" s="45">
        <f>ROUND(('TE BE'!$AA$39)*(1-CUSTOS!$M$31),2)</f>
        <v>182.45</v>
      </c>
    </row>
    <row r="31" spans="12:22" ht="11.25" customHeight="1" x14ac:dyDescent="0.3">
      <c r="L31" s="139"/>
      <c r="M31" s="94" t="s">
        <v>640</v>
      </c>
      <c r="N31" s="94" t="s">
        <v>632</v>
      </c>
      <c r="O31" s="94" t="s">
        <v>632</v>
      </c>
      <c r="P31" s="94" t="s">
        <v>632</v>
      </c>
      <c r="Q31" s="45">
        <v>0</v>
      </c>
      <c r="R31" s="45">
        <f ca="1">ROUND(('TUSD BE'!$AM$48+'TUSD BF'!$AM$48+'TUSD CVA'!$AM$48)*(1-CUSTOS!$M$31),2)</f>
        <v>1046.47</v>
      </c>
      <c r="S31" s="45">
        <f>ROUND(('TE BE'!$AA$38+'TE BF'!$AA$38+'TE CVA'!$AA$38)*(1-CUSTOS!$M$31),2)</f>
        <v>225.79</v>
      </c>
      <c r="T31" s="45">
        <v>0</v>
      </c>
      <c r="U31" s="45">
        <f ca="1">ROUND(('TUSD BE'!$AM$48)*(1-CUSTOS!$M$31),2)</f>
        <v>974.7</v>
      </c>
      <c r="V31" s="45">
        <f>ROUND(('TE BE'!$AA$38)*(1-CUSTOS!$M$31),2)</f>
        <v>182.45</v>
      </c>
    </row>
    <row r="32" spans="12:22" ht="11.25" customHeight="1" x14ac:dyDescent="0.3">
      <c r="L32" s="137" t="s">
        <v>43</v>
      </c>
      <c r="M32" s="137" t="s">
        <v>640</v>
      </c>
      <c r="N32" s="137" t="s">
        <v>645</v>
      </c>
      <c r="O32" s="94" t="s">
        <v>646</v>
      </c>
      <c r="P32" s="94" t="s">
        <v>632</v>
      </c>
      <c r="Q32" s="45">
        <v>0</v>
      </c>
      <c r="R32" s="45">
        <f ca="1">ROUND(('TUSD BE'!$AM$50+'TUSD BF'!$AM$50+'TUSD CVA'!$AM$50),2)</f>
        <v>554.63</v>
      </c>
      <c r="S32" s="45">
        <f>ROUND(('TE BE'!$AA$40+'TE BF'!$AA$40+'TE CVA'!$AA$40),2)</f>
        <v>119.67</v>
      </c>
      <c r="T32" s="45">
        <v>0</v>
      </c>
      <c r="U32" s="45">
        <f ca="1">ROUND(('TUSD BE'!$AM$50),2)</f>
        <v>516.59</v>
      </c>
      <c r="V32" s="45">
        <f>ROUND(('TE BE'!$AA$40),2)</f>
        <v>96.7</v>
      </c>
    </row>
    <row r="33" spans="12:22" ht="11.25" customHeight="1" x14ac:dyDescent="0.3">
      <c r="L33" s="139"/>
      <c r="M33" s="139"/>
      <c r="N33" s="139"/>
      <c r="O33" s="94" t="s">
        <v>647</v>
      </c>
      <c r="P33" s="94" t="s">
        <v>632</v>
      </c>
      <c r="Q33" s="45">
        <v>0</v>
      </c>
      <c r="R33" s="45">
        <f ca="1">ROUND(('TUSD BE'!$AM$51+'TUSD BF'!$AM$51+'TUSD CVA'!$AM$51),2)</f>
        <v>606.95000000000005</v>
      </c>
      <c r="S33" s="45">
        <f>ROUND(('TE BE'!$AA$41+'TE BF'!$AA$41+'TE CVA'!$AA$41),2)</f>
        <v>130.96</v>
      </c>
      <c r="T33" s="45">
        <v>0</v>
      </c>
      <c r="U33" s="45">
        <f ca="1">ROUND(('TUSD BE'!$AM$51),2)</f>
        <v>565.32000000000005</v>
      </c>
      <c r="V33" s="45">
        <f>ROUND(('TE BE'!$AA$41),2)</f>
        <v>105.82</v>
      </c>
    </row>
    <row r="34" spans="12:22" ht="11.25" customHeight="1" x14ac:dyDescent="0.3">
      <c r="L34" s="137" t="s">
        <v>77</v>
      </c>
      <c r="M34" s="137" t="s">
        <v>648</v>
      </c>
      <c r="N34" s="94" t="s">
        <v>78</v>
      </c>
      <c r="O34" s="94" t="s">
        <v>632</v>
      </c>
      <c r="P34" s="94" t="s">
        <v>632</v>
      </c>
      <c r="Q34" s="45">
        <f ca="1">ROUND(('TUSD BE'!$AM$15+'TUSD BF'!$AM$15+'TUSD CVA'!$AM$15),2)</f>
        <v>3.47</v>
      </c>
      <c r="R34" s="45">
        <v>0</v>
      </c>
      <c r="S34" s="45">
        <v>0</v>
      </c>
      <c r="T34" s="45">
        <f ca="1">ROUND(('TUSD BE'!$AM$15),2)</f>
        <v>3.59</v>
      </c>
      <c r="U34" s="45">
        <v>0</v>
      </c>
      <c r="V34" s="45">
        <v>0</v>
      </c>
    </row>
    <row r="35" spans="12:22" ht="11.25" customHeight="1" x14ac:dyDescent="0.3">
      <c r="L35" s="139"/>
      <c r="M35" s="139"/>
      <c r="N35" s="94" t="s">
        <v>79</v>
      </c>
      <c r="O35" s="94" t="s">
        <v>632</v>
      </c>
      <c r="P35" s="94" t="s">
        <v>632</v>
      </c>
      <c r="Q35" s="45">
        <f ca="1">ROUND(('TUSD BE'!$AM$16+'TUSD BF'!$AM$16+'TUSD CVA'!$AM$16),2)</f>
        <v>11.17</v>
      </c>
      <c r="R35" s="45">
        <v>0</v>
      </c>
      <c r="S35" s="45">
        <v>0</v>
      </c>
      <c r="T35" s="45">
        <f ca="1">ROUND(('TUSD BE'!$AM$16),2)</f>
        <v>11.55</v>
      </c>
      <c r="U35" s="45">
        <v>0</v>
      </c>
      <c r="V35" s="4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F2AA-79F3-49E4-B52C-40D07F0B2B35}">
  <dimension ref="A1:AN298"/>
  <sheetViews>
    <sheetView showGridLines="0" workbookViewId="0">
      <selection sqref="A1:O298 Q1:AJ13"/>
    </sheetView>
  </sheetViews>
  <sheetFormatPr defaultColWidth="9.109375" defaultRowHeight="11.25" customHeight="1" x14ac:dyDescent="0.3"/>
  <cols>
    <col min="1" max="1" width="19.109375" style="4" bestFit="1" customWidth="1"/>
    <col min="2" max="2" width="8.6640625" style="4" bestFit="1" customWidth="1"/>
    <col min="3" max="3" width="10.33203125" style="4" bestFit="1" customWidth="1"/>
    <col min="4" max="4" width="13.5546875" style="4" bestFit="1" customWidth="1"/>
    <col min="5" max="5" width="25.109375" style="4" bestFit="1" customWidth="1"/>
    <col min="6" max="6" width="10.5546875" style="4" bestFit="1" customWidth="1"/>
    <col min="7" max="8" width="10.33203125" style="4" bestFit="1" customWidth="1"/>
    <col min="9" max="9" width="8.6640625" style="5" bestFit="1" customWidth="1"/>
    <col min="10" max="10" width="10.109375" style="6" bestFit="1" customWidth="1"/>
    <col min="11" max="11" width="10.5546875" style="6" bestFit="1" customWidth="1"/>
    <col min="12" max="12" width="9.44140625" style="6" bestFit="1" customWidth="1"/>
    <col min="13" max="13" width="13.6640625" style="6" bestFit="1" customWidth="1"/>
    <col min="14" max="14" width="14.109375" style="6" bestFit="1" customWidth="1"/>
    <col min="15" max="15" width="12.88671875" style="6" bestFit="1" customWidth="1"/>
    <col min="16" max="16" width="7" style="6" bestFit="1" customWidth="1"/>
    <col min="17" max="17" width="9.33203125" style="4" bestFit="1" customWidth="1"/>
    <col min="18" max="18" width="18.88671875" style="4" bestFit="1" customWidth="1"/>
    <col min="19" max="19" width="20.33203125" style="4" bestFit="1" customWidth="1"/>
    <col min="20" max="20" width="18.109375" style="4" bestFit="1" customWidth="1"/>
    <col min="21" max="21" width="17" style="4" bestFit="1" customWidth="1"/>
    <col min="22" max="22" width="18.5546875" style="4" bestFit="1" customWidth="1"/>
    <col min="23" max="23" width="16.33203125" style="4" bestFit="1" customWidth="1"/>
    <col min="24" max="24" width="16.6640625" style="4" bestFit="1" customWidth="1"/>
    <col min="25" max="25" width="18.33203125" style="4" bestFit="1" customWidth="1"/>
    <col min="26" max="26" width="16" style="4" bestFit="1" customWidth="1"/>
    <col min="27" max="27" width="16.88671875" style="4" bestFit="1" customWidth="1"/>
    <col min="28" max="28" width="18.44140625" style="4" bestFit="1" customWidth="1"/>
    <col min="29" max="29" width="16.109375" style="4" bestFit="1" customWidth="1"/>
    <col min="30" max="30" width="17.33203125" style="4" bestFit="1" customWidth="1"/>
    <col min="31" max="31" width="21.5546875" style="4" bestFit="1" customWidth="1"/>
    <col min="32" max="32" width="11.44140625" style="4" bestFit="1" customWidth="1"/>
    <col min="33" max="33" width="12.88671875" style="4" bestFit="1" customWidth="1"/>
    <col min="34" max="34" width="10.6640625" style="4" bestFit="1" customWidth="1"/>
    <col min="35" max="35" width="11.6640625" style="4" bestFit="1" customWidth="1"/>
    <col min="36" max="36" width="16" style="4" bestFit="1" customWidth="1"/>
    <col min="37" max="37" width="9.109375" style="4"/>
    <col min="38" max="38" width="8.6640625" style="4" bestFit="1" customWidth="1"/>
    <col min="39" max="39" width="5.5546875" style="4" bestFit="1" customWidth="1"/>
    <col min="40" max="40" width="14.6640625" style="4" bestFit="1" customWidth="1"/>
    <col min="41" max="16384" width="9.109375" style="4"/>
  </cols>
  <sheetData>
    <row r="1" spans="1:40" s="1" customFormat="1" ht="11.25" customHeight="1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73" t="s">
        <v>8</v>
      </c>
      <c r="J1" s="72" t="s">
        <v>595</v>
      </c>
      <c r="K1" s="72" t="s">
        <v>596</v>
      </c>
      <c r="L1" s="72" t="s">
        <v>597</v>
      </c>
      <c r="M1" s="72" t="s">
        <v>598</v>
      </c>
      <c r="N1" s="72" t="s">
        <v>599</v>
      </c>
      <c r="O1" s="72" t="s">
        <v>600</v>
      </c>
      <c r="P1" s="71"/>
      <c r="Q1" s="130" t="s">
        <v>601</v>
      </c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L1" s="52" t="s">
        <v>622</v>
      </c>
      <c r="AM1" s="52" t="s">
        <v>54</v>
      </c>
      <c r="AN1" s="52" t="s">
        <v>623</v>
      </c>
    </row>
    <row r="2" spans="1:40" ht="11.25" customHeight="1" x14ac:dyDescent="0.2">
      <c r="A2" s="53" t="s">
        <v>21</v>
      </c>
      <c r="B2" s="53" t="s">
        <v>36</v>
      </c>
      <c r="C2" s="53" t="s">
        <v>37</v>
      </c>
      <c r="D2" s="53" t="s">
        <v>35</v>
      </c>
      <c r="E2" s="53" t="s">
        <v>25</v>
      </c>
      <c r="F2" s="53" t="s">
        <v>25</v>
      </c>
      <c r="G2" s="53" t="s">
        <v>25</v>
      </c>
      <c r="H2" s="53" t="s">
        <v>39</v>
      </c>
      <c r="I2" s="74">
        <v>44287</v>
      </c>
      <c r="J2" s="75">
        <f>EFEITO!$J$2*EFEITO!$Y$2</f>
        <v>0</v>
      </c>
      <c r="K2" s="75">
        <f ca="1">EFEITO!$L$2*EFEITO!$Z$2</f>
        <v>22124.732817154534</v>
      </c>
      <c r="L2" s="75">
        <f>EFEITO!$N$2*EFEITO!$AA$2</f>
        <v>36845.645395641128</v>
      </c>
      <c r="M2" s="75">
        <f>$J$2-EFEITO!$K$2*EFEITO!$Y$2</f>
        <v>0</v>
      </c>
      <c r="N2" s="75">
        <f ca="1">$K$2-EFEITO!$M$2*EFEITO!$Z$2</f>
        <v>0</v>
      </c>
      <c r="O2" s="75">
        <f>$L$2-EFEITO!$O$2*EFEITO!$AA$2</f>
        <v>0</v>
      </c>
      <c r="P2" s="57"/>
      <c r="Q2" s="44" t="s">
        <v>57</v>
      </c>
      <c r="R2" s="44" t="s">
        <v>603</v>
      </c>
      <c r="S2" s="44" t="s">
        <v>604</v>
      </c>
      <c r="T2" s="44" t="s">
        <v>605</v>
      </c>
      <c r="U2" s="44" t="s">
        <v>606</v>
      </c>
      <c r="V2" s="44" t="s">
        <v>607</v>
      </c>
      <c r="W2" s="44" t="s">
        <v>608</v>
      </c>
      <c r="X2" s="76" t="s">
        <v>609</v>
      </c>
      <c r="Y2" s="76" t="s">
        <v>610</v>
      </c>
      <c r="Z2" s="76" t="s">
        <v>611</v>
      </c>
      <c r="AA2" s="76" t="s">
        <v>612</v>
      </c>
      <c r="AB2" s="76" t="s">
        <v>613</v>
      </c>
      <c r="AC2" s="76" t="s">
        <v>614</v>
      </c>
      <c r="AD2" s="76" t="s">
        <v>615</v>
      </c>
      <c r="AE2" s="76" t="s">
        <v>616</v>
      </c>
      <c r="AF2" s="76" t="s">
        <v>617</v>
      </c>
      <c r="AG2" s="76" t="s">
        <v>618</v>
      </c>
      <c r="AH2" s="76" t="s">
        <v>619</v>
      </c>
      <c r="AI2" s="76" t="s">
        <v>620</v>
      </c>
      <c r="AJ2" s="76" t="s">
        <v>621</v>
      </c>
      <c r="AL2" s="53"/>
      <c r="AM2" s="53"/>
      <c r="AN2" s="53"/>
    </row>
    <row r="3" spans="1:40" ht="11.25" customHeight="1" x14ac:dyDescent="0.2">
      <c r="A3" s="53" t="s">
        <v>21</v>
      </c>
      <c r="B3" s="53" t="s">
        <v>36</v>
      </c>
      <c r="C3" s="53" t="s">
        <v>37</v>
      </c>
      <c r="D3" s="53" t="s">
        <v>35</v>
      </c>
      <c r="E3" s="53" t="s">
        <v>25</v>
      </c>
      <c r="F3" s="53" t="s">
        <v>25</v>
      </c>
      <c r="G3" s="53" t="s">
        <v>25</v>
      </c>
      <c r="H3" s="53" t="s">
        <v>39</v>
      </c>
      <c r="I3" s="74">
        <v>44317</v>
      </c>
      <c r="J3" s="75">
        <f>EFEITO!$J$3*EFEITO!$Y$3</f>
        <v>0</v>
      </c>
      <c r="K3" s="75">
        <f ca="1">EFEITO!$L$3*EFEITO!$Z$3</f>
        <v>22250.689581914965</v>
      </c>
      <c r="L3" s="75">
        <f>EFEITO!$N$3*EFEITO!$AA$3</f>
        <v>37055.408755402321</v>
      </c>
      <c r="M3" s="75">
        <f>$J$3-EFEITO!$K$3*EFEITO!$Y$3</f>
        <v>0</v>
      </c>
      <c r="N3" s="75">
        <f ca="1">$K$3-EFEITO!$M$3*EFEITO!$Z$3</f>
        <v>0</v>
      </c>
      <c r="O3" s="75">
        <f>$L$3-EFEITO!$O$3*EFEITO!$AA$3</f>
        <v>0</v>
      </c>
      <c r="P3" s="57"/>
      <c r="Q3" s="75" t="s">
        <v>602</v>
      </c>
      <c r="R3" s="75">
        <f>SUMIF($B$2:$B$298,$Q$3,$J$2:$J$298)</f>
        <v>0</v>
      </c>
      <c r="S3" s="75">
        <f>SUMIF($B$2:$B$298,$Q$3,$K$2:$K$298)</f>
        <v>0</v>
      </c>
      <c r="T3" s="75">
        <f>SUMIF($B$2:$B$298,$Q$3,$L$2:$L$298)</f>
        <v>0</v>
      </c>
      <c r="U3" s="75">
        <f>SUMIF($B$2:$B$298,$Q$3,$M$2:$M$298)</f>
        <v>0</v>
      </c>
      <c r="V3" s="75">
        <f>SUMIF($B$2:$B$298,$Q$3,$N$2:$N$298)</f>
        <v>0</v>
      </c>
      <c r="W3" s="75">
        <f>SUMIF($B$2:$B$298,$Q$3,$O$2:$O$298)</f>
        <v>0</v>
      </c>
      <c r="X3" s="54">
        <f>$R$3-$U$3</f>
        <v>0</v>
      </c>
      <c r="Y3" s="54">
        <f>$S$3-$V$3</f>
        <v>0</v>
      </c>
      <c r="Z3" s="54">
        <f>$T$3-$W$3</f>
        <v>0</v>
      </c>
      <c r="AA3" s="54">
        <f>SUMIF(EFEITO!$B$2:$B$298,$Q$3,EFEITO!$AE$2:$AE$298)</f>
        <v>0</v>
      </c>
      <c r="AB3" s="54">
        <f>SUMIF(EFEITO!$B$2:$B$298,$Q$3,EFEITO!$AF$2:$AF$298)</f>
        <v>0</v>
      </c>
      <c r="AC3" s="54">
        <f>SUMIF(EFEITO!$B$2:$B$298,$Q$3,EFEITO!$AG$2:$AH$298)</f>
        <v>0</v>
      </c>
      <c r="AD3" s="54">
        <f>SUMIF(SUBSIDIO!$B$2:$B$298,$Q$3,SUBSIDIO!$AD$2:$AD$298)</f>
        <v>0</v>
      </c>
      <c r="AE3" s="54">
        <f>SUMIF(SUBSIDIO!$B$2:$B$298,$Q$3,SUBSIDIO!$AE$2:$AE$298)</f>
        <v>0</v>
      </c>
      <c r="AF3" s="54" t="str">
        <f>IF(ABS($X$3-$AA$3)&lt;0.01,"OK","ERRO")</f>
        <v>OK</v>
      </c>
      <c r="AG3" s="54" t="str">
        <f>IF(ABS($Y$3-$AB$3)&lt;0.01,"OK","ERRO")</f>
        <v>OK</v>
      </c>
      <c r="AH3" s="54" t="str">
        <f>IF(ABS($Z$3-$AC$3)&lt;0.01,"OK","ERRO")</f>
        <v>OK</v>
      </c>
      <c r="AI3" s="54" t="str">
        <f>IF(ABS($U$3-$AD$3)&lt;0.01,"OK","ERRO")</f>
        <v>OK</v>
      </c>
      <c r="AJ3" s="54" t="str">
        <f>IF(ABS(($V$3+$W$3)-$AE$3)&lt;0.01,"OK","ERRO")</f>
        <v>OK</v>
      </c>
    </row>
    <row r="4" spans="1:40" ht="11.25" customHeight="1" x14ac:dyDescent="0.2">
      <c r="A4" s="53" t="s">
        <v>21</v>
      </c>
      <c r="B4" s="53" t="s">
        <v>36</v>
      </c>
      <c r="C4" s="53" t="s">
        <v>37</v>
      </c>
      <c r="D4" s="53" t="s">
        <v>35</v>
      </c>
      <c r="E4" s="53" t="s">
        <v>25</v>
      </c>
      <c r="F4" s="53" t="s">
        <v>25</v>
      </c>
      <c r="G4" s="53" t="s">
        <v>25</v>
      </c>
      <c r="H4" s="53" t="s">
        <v>39</v>
      </c>
      <c r="I4" s="74">
        <v>44348</v>
      </c>
      <c r="J4" s="75">
        <f>EFEITO!$J$4*EFEITO!$Y$4</f>
        <v>0</v>
      </c>
      <c r="K4" s="75">
        <f ca="1">EFEITO!$L$4*EFEITO!$Z$4</f>
        <v>21690.59550739899</v>
      </c>
      <c r="L4" s="75">
        <f>EFEITO!$N$4*EFEITO!$AA$4</f>
        <v>36122.650478574033</v>
      </c>
      <c r="M4" s="75">
        <f>$J$4-EFEITO!$K$4*EFEITO!$Y$4</f>
        <v>0</v>
      </c>
      <c r="N4" s="75">
        <f ca="1">$K$4-EFEITO!$M$4*EFEITO!$Z$4</f>
        <v>0</v>
      </c>
      <c r="O4" s="75">
        <f>$L$4-EFEITO!$O$4*EFEITO!$AA$4</f>
        <v>0</v>
      </c>
      <c r="P4" s="57"/>
      <c r="Q4" s="75" t="s">
        <v>479</v>
      </c>
      <c r="R4" s="75">
        <f>SUMIF($B$2:$B$298,$Q$4,$J$2:$J$298)</f>
        <v>0</v>
      </c>
      <c r="S4" s="75">
        <f>SUMIF($B$2:$B$298,$Q$4,$K$2:$K$298)</f>
        <v>0</v>
      </c>
      <c r="T4" s="75">
        <f>SUMIF($B$2:$B$298,$Q$4,$L$2:$L$298)</f>
        <v>0</v>
      </c>
      <c r="U4" s="75">
        <f>SUMIF($B$2:$B$298,$Q$4,$M$2:$M$298)</f>
        <v>0</v>
      </c>
      <c r="V4" s="75">
        <f>SUMIF($B$2:$B$298,$Q$4,$N$2:$N$298)</f>
        <v>0</v>
      </c>
      <c r="W4" s="75">
        <f>SUMIF($B$2:$B$298,$Q$4,$O$2:$O$298)</f>
        <v>0</v>
      </c>
      <c r="X4" s="54">
        <f>$R$4-$U$4</f>
        <v>0</v>
      </c>
      <c r="Y4" s="54">
        <f>$S$4-$V$4</f>
        <v>0</v>
      </c>
      <c r="Z4" s="54">
        <f>$T$4-$W$4</f>
        <v>0</v>
      </c>
      <c r="AA4" s="54">
        <f>SUMIF(EFEITO!$B$2:$B$298,$Q$4,EFEITO!$AE$2:$AE$298)</f>
        <v>0</v>
      </c>
      <c r="AB4" s="54">
        <f>SUMIF(EFEITO!$B$2:$B$298,$Q$4,EFEITO!$AF$2:$AF$298)</f>
        <v>0</v>
      </c>
      <c r="AC4" s="54">
        <f>SUMIF(EFEITO!$B$2:$B$298,$Q$4,EFEITO!$AG$2:$AH$298)</f>
        <v>0</v>
      </c>
      <c r="AD4" s="54">
        <f>SUMIF(SUBSIDIO!$B$2:$B$298,$Q$4,SUBSIDIO!$AD$2:$AD$298)</f>
        <v>0</v>
      </c>
      <c r="AE4" s="54">
        <f>SUMIF(SUBSIDIO!$B$2:$B$298,$Q$4,SUBSIDIO!$AE$2:$AE$298)</f>
        <v>0</v>
      </c>
      <c r="AF4" s="54" t="str">
        <f>IF(ABS($X$4-$AA$4)&lt;0.01,"OK","ERRO")</f>
        <v>OK</v>
      </c>
      <c r="AG4" s="54" t="str">
        <f>IF(ABS($Y$4-$AB$4)&lt;0.01,"OK","ERRO")</f>
        <v>OK</v>
      </c>
      <c r="AH4" s="54" t="str">
        <f>IF(ABS($Z$4-$AC$4)&lt;0.01,"OK","ERRO")</f>
        <v>OK</v>
      </c>
      <c r="AI4" s="54" t="str">
        <f>IF(ABS($U$4-$AD$4)&lt;0.01,"OK","ERRO")</f>
        <v>OK</v>
      </c>
      <c r="AJ4" s="54" t="str">
        <f>IF(ABS(($V$4+$W$4)-$AE$4)&lt;0.01,"OK","ERRO")</f>
        <v>OK</v>
      </c>
    </row>
    <row r="5" spans="1:40" ht="11.25" customHeight="1" x14ac:dyDescent="0.2">
      <c r="A5" s="53" t="s">
        <v>21</v>
      </c>
      <c r="B5" s="53" t="s">
        <v>36</v>
      </c>
      <c r="C5" s="53" t="s">
        <v>37</v>
      </c>
      <c r="D5" s="53" t="s">
        <v>35</v>
      </c>
      <c r="E5" s="53" t="s">
        <v>25</v>
      </c>
      <c r="F5" s="53" t="s">
        <v>25</v>
      </c>
      <c r="G5" s="53" t="s">
        <v>25</v>
      </c>
      <c r="H5" s="53" t="s">
        <v>39</v>
      </c>
      <c r="I5" s="74">
        <v>44378</v>
      </c>
      <c r="J5" s="75">
        <f>EFEITO!$J$5*EFEITO!$Y$5</f>
        <v>0</v>
      </c>
      <c r="K5" s="75">
        <f ca="1">EFEITO!$L$5*EFEITO!$Z$5</f>
        <v>24806.161166634658</v>
      </c>
      <c r="L5" s="75">
        <f>EFEITO!$N$5*EFEITO!$AA$5</f>
        <v>41311.188954303208</v>
      </c>
      <c r="M5" s="75">
        <f>$J$5-EFEITO!$K$5*EFEITO!$Y$5</f>
        <v>0</v>
      </c>
      <c r="N5" s="75">
        <f ca="1">$K$5-EFEITO!$M$5*EFEITO!$Z$5</f>
        <v>0</v>
      </c>
      <c r="O5" s="75">
        <f>$L$5-EFEITO!$O$5*EFEITO!$AA$5</f>
        <v>0</v>
      </c>
      <c r="P5" s="57"/>
      <c r="Q5" s="75" t="s">
        <v>480</v>
      </c>
      <c r="R5" s="75">
        <f>SUMIF($B$2:$B$298,$Q$5,$J$2:$J$298)</f>
        <v>0</v>
      </c>
      <c r="S5" s="75">
        <f>SUMIF($B$2:$B$298,$Q$5,$K$2:$K$298)</f>
        <v>0</v>
      </c>
      <c r="T5" s="75">
        <f>SUMIF($B$2:$B$298,$Q$5,$L$2:$L$298)</f>
        <v>0</v>
      </c>
      <c r="U5" s="75">
        <f>SUMIF($B$2:$B$298,$Q$5,$M$2:$M$298)</f>
        <v>0</v>
      </c>
      <c r="V5" s="75">
        <f>SUMIF($B$2:$B$298,$Q$5,$N$2:$N$298)</f>
        <v>0</v>
      </c>
      <c r="W5" s="75">
        <f>SUMIF($B$2:$B$298,$Q$5,$O$2:$O$298)</f>
        <v>0</v>
      </c>
      <c r="X5" s="54">
        <f>$R$5-$U$5</f>
        <v>0</v>
      </c>
      <c r="Y5" s="54">
        <f>$S$5-$V$5</f>
        <v>0</v>
      </c>
      <c r="Z5" s="54">
        <f>$T$5-$W$5</f>
        <v>0</v>
      </c>
      <c r="AA5" s="54">
        <f>SUMIF(EFEITO!$B$2:$B$298,$Q$5,EFEITO!$AE$2:$AE$298)</f>
        <v>0</v>
      </c>
      <c r="AB5" s="54">
        <f>SUMIF(EFEITO!$B$2:$B$298,$Q$5,EFEITO!$AF$2:$AF$298)</f>
        <v>0</v>
      </c>
      <c r="AC5" s="54">
        <f>SUMIF(EFEITO!$B$2:$B$298,$Q$5,EFEITO!$AG$2:$AH$298)</f>
        <v>0</v>
      </c>
      <c r="AD5" s="54">
        <f>SUMIF(SUBSIDIO!$B$2:$B$298,$Q$5,SUBSIDIO!$AD$2:$AD$298)</f>
        <v>0</v>
      </c>
      <c r="AE5" s="54">
        <f>SUMIF(SUBSIDIO!$B$2:$B$298,$Q$5,SUBSIDIO!$AE$2:$AE$298)</f>
        <v>0</v>
      </c>
      <c r="AF5" s="54" t="str">
        <f>IF(ABS($X$5-$AA$5)&lt;0.01,"OK","ERRO")</f>
        <v>OK</v>
      </c>
      <c r="AG5" s="54" t="str">
        <f>IF(ABS($Y$5-$AB$5)&lt;0.01,"OK","ERRO")</f>
        <v>OK</v>
      </c>
      <c r="AH5" s="54" t="str">
        <f>IF(ABS($Z$5-$AC$5)&lt;0.01,"OK","ERRO")</f>
        <v>OK</v>
      </c>
      <c r="AI5" s="54" t="str">
        <f>IF(ABS($U$5-$AD$5)&lt;0.01,"OK","ERRO")</f>
        <v>OK</v>
      </c>
      <c r="AJ5" s="54" t="str">
        <f>IF(ABS(($V$5+$W$5)-$AE$5)&lt;0.01,"OK","ERRO")</f>
        <v>OK</v>
      </c>
    </row>
    <row r="6" spans="1:40" ht="11.25" customHeight="1" x14ac:dyDescent="0.2">
      <c r="A6" s="53" t="s">
        <v>21</v>
      </c>
      <c r="B6" s="53" t="s">
        <v>36</v>
      </c>
      <c r="C6" s="53" t="s">
        <v>37</v>
      </c>
      <c r="D6" s="53" t="s">
        <v>35</v>
      </c>
      <c r="E6" s="53" t="s">
        <v>25</v>
      </c>
      <c r="F6" s="53" t="s">
        <v>25</v>
      </c>
      <c r="G6" s="53" t="s">
        <v>25</v>
      </c>
      <c r="H6" s="53" t="s">
        <v>39</v>
      </c>
      <c r="I6" s="74">
        <v>44409</v>
      </c>
      <c r="J6" s="75">
        <f>EFEITO!$J$6*EFEITO!$Y$6</f>
        <v>0</v>
      </c>
      <c r="K6" s="75">
        <f ca="1">EFEITO!$L$6*EFEITO!$Z$6</f>
        <v>22657.439091367378</v>
      </c>
      <c r="L6" s="75">
        <f>EFEITO!$N$6*EFEITO!$AA$6</f>
        <v>37732.793124921773</v>
      </c>
      <c r="M6" s="75">
        <f>$J$6-EFEITO!$K$6*EFEITO!$Y$6</f>
        <v>0</v>
      </c>
      <c r="N6" s="75">
        <f ca="1">$K$6-EFEITO!$M$6*EFEITO!$Z$6</f>
        <v>0</v>
      </c>
      <c r="O6" s="75">
        <f>$L$6-EFEITO!$O$6*EFEITO!$AA$6</f>
        <v>0</v>
      </c>
      <c r="P6" s="57"/>
      <c r="Q6" s="75" t="s">
        <v>481</v>
      </c>
      <c r="R6" s="75">
        <f>SUMIF($B$2:$B$298,$Q$6,$J$2:$J$298)</f>
        <v>0</v>
      </c>
      <c r="S6" s="75">
        <f>SUMIF($B$2:$B$298,$Q$6,$K$2:$K$298)</f>
        <v>0</v>
      </c>
      <c r="T6" s="75">
        <f>SUMIF($B$2:$B$298,$Q$6,$L$2:$L$298)</f>
        <v>0</v>
      </c>
      <c r="U6" s="75">
        <f>SUMIF($B$2:$B$298,$Q$6,$M$2:$M$298)</f>
        <v>0</v>
      </c>
      <c r="V6" s="75">
        <f>SUMIF($B$2:$B$298,$Q$6,$N$2:$N$298)</f>
        <v>0</v>
      </c>
      <c r="W6" s="75">
        <f>SUMIF($B$2:$B$298,$Q$6,$O$2:$O$298)</f>
        <v>0</v>
      </c>
      <c r="X6" s="54">
        <f>$R$6-$U$6</f>
        <v>0</v>
      </c>
      <c r="Y6" s="54">
        <f>$S$6-$V$6</f>
        <v>0</v>
      </c>
      <c r="Z6" s="54">
        <f>$T$6-$W$6</f>
        <v>0</v>
      </c>
      <c r="AA6" s="54">
        <f>SUMIF(EFEITO!$B$2:$B$298,$Q$6,EFEITO!$AE$2:$AE$298)</f>
        <v>0</v>
      </c>
      <c r="AB6" s="54">
        <f>SUMIF(EFEITO!$B$2:$B$298,$Q$6,EFEITO!$AF$2:$AF$298)</f>
        <v>0</v>
      </c>
      <c r="AC6" s="54">
        <f>SUMIF(EFEITO!$B$2:$B$298,$Q$6,EFEITO!$AG$2:$AH$298)</f>
        <v>0</v>
      </c>
      <c r="AD6" s="54">
        <f>SUMIF(SUBSIDIO!$B$2:$B$298,$Q$6,SUBSIDIO!$AD$2:$AD$298)</f>
        <v>0</v>
      </c>
      <c r="AE6" s="54">
        <f>SUMIF(SUBSIDIO!$B$2:$B$298,$Q$6,SUBSIDIO!$AE$2:$AE$298)</f>
        <v>0</v>
      </c>
      <c r="AF6" s="54" t="str">
        <f>IF(ABS($X$6-$AA$6)&lt;0.01,"OK","ERRO")</f>
        <v>OK</v>
      </c>
      <c r="AG6" s="54" t="str">
        <f>IF(ABS($Y$6-$AB$6)&lt;0.01,"OK","ERRO")</f>
        <v>OK</v>
      </c>
      <c r="AH6" s="54" t="str">
        <f>IF(ABS($Z$6-$AC$6)&lt;0.01,"OK","ERRO")</f>
        <v>OK</v>
      </c>
      <c r="AI6" s="54" t="str">
        <f>IF(ABS($U$6-$AD$6)&lt;0.01,"OK","ERRO")</f>
        <v>OK</v>
      </c>
      <c r="AJ6" s="54" t="str">
        <f>IF(ABS(($V$6+$W$6)-$AE$6)&lt;0.01,"OK","ERRO")</f>
        <v>OK</v>
      </c>
    </row>
    <row r="7" spans="1:40" ht="11.25" customHeight="1" x14ac:dyDescent="0.2">
      <c r="A7" s="53" t="s">
        <v>21</v>
      </c>
      <c r="B7" s="53" t="s">
        <v>36</v>
      </c>
      <c r="C7" s="53" t="s">
        <v>37</v>
      </c>
      <c r="D7" s="53" t="s">
        <v>35</v>
      </c>
      <c r="E7" s="53" t="s">
        <v>25</v>
      </c>
      <c r="F7" s="53" t="s">
        <v>25</v>
      </c>
      <c r="G7" s="53" t="s">
        <v>25</v>
      </c>
      <c r="H7" s="53" t="s">
        <v>39</v>
      </c>
      <c r="I7" s="74">
        <v>44440</v>
      </c>
      <c r="J7" s="75">
        <f>EFEITO!$J$7*EFEITO!$Y$7</f>
        <v>0</v>
      </c>
      <c r="K7" s="75">
        <f ca="1">EFEITO!$L$7*EFEITO!$Z$7</f>
        <v>24647.935607457668</v>
      </c>
      <c r="L7" s="75">
        <f>EFEITO!$N$7*EFEITO!$AA$7</f>
        <v>41047.686434560143</v>
      </c>
      <c r="M7" s="75">
        <f>$J$7-EFEITO!$K$7*EFEITO!$Y$7</f>
        <v>0</v>
      </c>
      <c r="N7" s="75">
        <f ca="1">$K$7-EFEITO!$M$7*EFEITO!$Z$7</f>
        <v>0</v>
      </c>
      <c r="O7" s="75">
        <f>$L$7-EFEITO!$O$7*EFEITO!$AA$7</f>
        <v>0</v>
      </c>
      <c r="P7" s="57"/>
      <c r="Q7" s="75" t="s">
        <v>36</v>
      </c>
      <c r="R7" s="75">
        <f ca="1">SUMIF($B$2:$B$298,$Q$7,$J$2:$J$298)</f>
        <v>1040969.6065178749</v>
      </c>
      <c r="S7" s="75">
        <f ca="1">SUMIF($B$2:$B$298,$Q$7,$K$2:$K$298)</f>
        <v>1071616.2519862722</v>
      </c>
      <c r="T7" s="75">
        <f>SUMIF($B$2:$B$298,$Q$7,$L$2:$L$298)</f>
        <v>606654.60319170984</v>
      </c>
      <c r="U7" s="75">
        <f ca="1">SUMIF($B$2:$B$298,$Q$7,$M$2:$M$298)</f>
        <v>1377.126083500305</v>
      </c>
      <c r="V7" s="75">
        <f ca="1">SUMIF($B$2:$B$298,$Q$7,$N$2:$N$298)</f>
        <v>746.02352357448899</v>
      </c>
      <c r="W7" s="75">
        <f>SUMIF($B$2:$B$298,$Q$7,$O$2:$O$298)</f>
        <v>786.92645386234506</v>
      </c>
      <c r="X7" s="54">
        <f ca="1">$R$7-$U$7</f>
        <v>1039592.4804343745</v>
      </c>
      <c r="Y7" s="54">
        <f ca="1">$S$7-$V$7</f>
        <v>1070870.2284626977</v>
      </c>
      <c r="Z7" s="54">
        <f>$T$7-$W$7</f>
        <v>605867.67673784751</v>
      </c>
      <c r="AA7" s="54">
        <f ca="1">SUMIF(EFEITO!$B$2:$B$298,$Q$7,EFEITO!$AE$2:$AE$298)</f>
        <v>1039592.4804343751</v>
      </c>
      <c r="AB7" s="54">
        <f ca="1">SUMIF(EFEITO!$B$2:$B$298,$Q$7,EFEITO!$AF$2:$AF$298)</f>
        <v>1070870.2284626977</v>
      </c>
      <c r="AC7" s="54">
        <f>SUMIF(EFEITO!$B$2:$B$298,$Q$7,EFEITO!$AG$2:$AH$298)</f>
        <v>605867.67673784762</v>
      </c>
      <c r="AD7" s="54">
        <f ca="1">SUMIF(SUBSIDIO!$B$2:$B$298,$Q$7,SUBSIDIO!$AD$2:$AD$298)</f>
        <v>1377.1260835002979</v>
      </c>
      <c r="AE7" s="54">
        <f ca="1">SUMIF(SUBSIDIO!$B$2:$B$298,$Q$7,SUBSIDIO!$AE$2:$AE$298)</f>
        <v>1532.949977436831</v>
      </c>
      <c r="AF7" s="54" t="str">
        <f ca="1">IF(ABS($X$7-$AA$7)&lt;0.01,"OK","ERRO")</f>
        <v>OK</v>
      </c>
      <c r="AG7" s="54" t="str">
        <f ca="1">IF(ABS($Y$7-$AB$7)&lt;0.01,"OK","ERRO")</f>
        <v>OK</v>
      </c>
      <c r="AH7" s="54" t="str">
        <f>IF(ABS($Z$7-$AC$7)&lt;0.01,"OK","ERRO")</f>
        <v>OK</v>
      </c>
      <c r="AI7" s="54" t="str">
        <f ca="1">IF(ABS($U$7-$AD$7)&lt;0.01,"OK","ERRO")</f>
        <v>OK</v>
      </c>
      <c r="AJ7" s="54" t="str">
        <f ca="1">IF(ABS(($V$7+$W$7)-$AE$7)&lt;0.01,"OK","ERRO")</f>
        <v>OK</v>
      </c>
    </row>
    <row r="8" spans="1:40" ht="11.25" customHeight="1" x14ac:dyDescent="0.2">
      <c r="A8" s="53" t="s">
        <v>21</v>
      </c>
      <c r="B8" s="53" t="s">
        <v>36</v>
      </c>
      <c r="C8" s="53" t="s">
        <v>37</v>
      </c>
      <c r="D8" s="53" t="s">
        <v>35</v>
      </c>
      <c r="E8" s="53" t="s">
        <v>25</v>
      </c>
      <c r="F8" s="53" t="s">
        <v>25</v>
      </c>
      <c r="G8" s="53" t="s">
        <v>25</v>
      </c>
      <c r="H8" s="53" t="s">
        <v>39</v>
      </c>
      <c r="I8" s="74">
        <v>44470</v>
      </c>
      <c r="J8" s="75">
        <f>EFEITO!$J$8*EFEITO!$Y$8</f>
        <v>0</v>
      </c>
      <c r="K8" s="75">
        <f ca="1">EFEITO!$L$8*EFEITO!$Z$8</f>
        <v>25713.348155883356</v>
      </c>
      <c r="L8" s="75">
        <f>EFEITO!$N$8*EFEITO!$AA$8</f>
        <v>42821.981893121425</v>
      </c>
      <c r="M8" s="75">
        <f>$J$8-EFEITO!$K$8*EFEITO!$Y$8</f>
        <v>0</v>
      </c>
      <c r="N8" s="75">
        <f ca="1">$K$8-EFEITO!$M$8*EFEITO!$Z$8</f>
        <v>0</v>
      </c>
      <c r="O8" s="75">
        <f>$L$8-EFEITO!$O$8*EFEITO!$AA$8</f>
        <v>0</v>
      </c>
      <c r="P8" s="57"/>
      <c r="Q8" s="75" t="s">
        <v>482</v>
      </c>
      <c r="R8" s="75">
        <f>SUMIF($B$2:$B$298,$Q$8,$J$2:$J$298)</f>
        <v>0</v>
      </c>
      <c r="S8" s="75">
        <f>SUMIF($B$2:$B$298,$Q$8,$K$2:$K$298)</f>
        <v>0</v>
      </c>
      <c r="T8" s="75">
        <f>SUMIF($B$2:$B$298,$Q$8,$L$2:$L$298)</f>
        <v>0</v>
      </c>
      <c r="U8" s="75">
        <f>SUMIF($B$2:$B$298,$Q$8,$M$2:$M$298)</f>
        <v>0</v>
      </c>
      <c r="V8" s="75">
        <f>SUMIF($B$2:$B$298,$Q$8,$N$2:$N$298)</f>
        <v>0</v>
      </c>
      <c r="W8" s="75">
        <f>SUMIF($B$2:$B$298,$Q$8,$O$2:$O$298)</f>
        <v>0</v>
      </c>
      <c r="X8" s="54">
        <f>$R$8-$U$8</f>
        <v>0</v>
      </c>
      <c r="Y8" s="54">
        <f>$S$8-$V$8</f>
        <v>0</v>
      </c>
      <c r="Z8" s="54">
        <f>$T$8-$W$8</f>
        <v>0</v>
      </c>
      <c r="AA8" s="54">
        <f>SUMIF(EFEITO!$B$2:$B$298,$Q$8,EFEITO!$AE$2:$AE$298)</f>
        <v>0</v>
      </c>
      <c r="AB8" s="54">
        <f>SUMIF(EFEITO!$B$2:$B$298,$Q$8,EFEITO!$AF$2:$AF$298)</f>
        <v>0</v>
      </c>
      <c r="AC8" s="54">
        <f>SUMIF(EFEITO!$B$2:$B$298,$Q$8,EFEITO!$AG$2:$AH$298)</f>
        <v>0</v>
      </c>
      <c r="AD8" s="54">
        <f>SUMIF(SUBSIDIO!$B$2:$B$298,$Q$8,SUBSIDIO!$AD$2:$AD$298)</f>
        <v>0</v>
      </c>
      <c r="AE8" s="54">
        <f>SUMIF(SUBSIDIO!$B$2:$B$298,$Q$8,SUBSIDIO!$AE$2:$AE$298)</f>
        <v>0</v>
      </c>
      <c r="AF8" s="54" t="str">
        <f>IF(ABS($X$8-$AA$8)&lt;0.01,"OK","ERRO")</f>
        <v>OK</v>
      </c>
      <c r="AG8" s="54" t="str">
        <f>IF(ABS($Y$8-$AB$8)&lt;0.01,"OK","ERRO")</f>
        <v>OK</v>
      </c>
      <c r="AH8" s="54" t="str">
        <f>IF(ABS($Z$8-$AC$8)&lt;0.01,"OK","ERRO")</f>
        <v>OK</v>
      </c>
      <c r="AI8" s="54" t="str">
        <f>IF(ABS($U$8-$AD$8)&lt;0.01,"OK","ERRO")</f>
        <v>OK</v>
      </c>
      <c r="AJ8" s="54" t="str">
        <f>IF(ABS(($V$8+$W$8)-$AE$8)&lt;0.01,"OK","ERRO")</f>
        <v>OK</v>
      </c>
    </row>
    <row r="9" spans="1:40" ht="11.25" customHeight="1" x14ac:dyDescent="0.2">
      <c r="A9" s="53" t="s">
        <v>21</v>
      </c>
      <c r="B9" s="53" t="s">
        <v>36</v>
      </c>
      <c r="C9" s="53" t="s">
        <v>37</v>
      </c>
      <c r="D9" s="53" t="s">
        <v>35</v>
      </c>
      <c r="E9" s="53" t="s">
        <v>25</v>
      </c>
      <c r="F9" s="53" t="s">
        <v>25</v>
      </c>
      <c r="G9" s="53" t="s">
        <v>25</v>
      </c>
      <c r="H9" s="53" t="s">
        <v>39</v>
      </c>
      <c r="I9" s="74">
        <v>44501</v>
      </c>
      <c r="J9" s="75">
        <f>EFEITO!$J$9*EFEITO!$Y$9</f>
        <v>0</v>
      </c>
      <c r="K9" s="75">
        <f ca="1">EFEITO!$L$9*EFEITO!$Z$9</f>
        <v>26160.637033111194</v>
      </c>
      <c r="L9" s="75">
        <f>EFEITO!$N$9*EFEITO!$AA$9</f>
        <v>43566.878904802987</v>
      </c>
      <c r="M9" s="75">
        <f>$J$9-EFEITO!$K$9*EFEITO!$Y$9</f>
        <v>0</v>
      </c>
      <c r="N9" s="75">
        <f ca="1">$K$9-EFEITO!$M$9*EFEITO!$Z$9</f>
        <v>0</v>
      </c>
      <c r="O9" s="75">
        <f>$L$9-EFEITO!$O$9*EFEITO!$AA$9</f>
        <v>0</v>
      </c>
      <c r="P9" s="57"/>
      <c r="Q9" s="75" t="s">
        <v>22</v>
      </c>
      <c r="R9" s="75">
        <f>SUMIF($B$2:$B$298,$Q$9,$J$2:$J$298)</f>
        <v>0</v>
      </c>
      <c r="S9" s="75">
        <f ca="1">SUMIF($B$2:$B$298,$Q$9,$K$2:$K$298)</f>
        <v>9247626.7645788044</v>
      </c>
      <c r="T9" s="75">
        <f>SUMIF($B$2:$B$298,$Q$9,$L$2:$L$298)</f>
        <v>2001367.5695272291</v>
      </c>
      <c r="U9" s="75">
        <f>SUMIF($B$2:$B$298,$Q$9,$M$2:$M$298)</f>
        <v>0</v>
      </c>
      <c r="V9" s="75">
        <f ca="1">SUMIF($B$2:$B$298,$Q$9,$N$2:$N$298)</f>
        <v>53494.720821161842</v>
      </c>
      <c r="W9" s="75">
        <f>SUMIF($B$2:$B$298,$Q$9,$O$2:$O$298)</f>
        <v>13345.984904625158</v>
      </c>
      <c r="X9" s="54">
        <f>$R$9-$U$9</f>
        <v>0</v>
      </c>
      <c r="Y9" s="54">
        <f ca="1">$S$9-$V$9</f>
        <v>9194132.0437576417</v>
      </c>
      <c r="Z9" s="54">
        <f>$T$9-$W$9</f>
        <v>1988021.5846226038</v>
      </c>
      <c r="AA9" s="54">
        <f>SUMIF(EFEITO!$B$2:$B$298,$Q$9,EFEITO!$AE$2:$AE$298)</f>
        <v>0</v>
      </c>
      <c r="AB9" s="54">
        <f ca="1">SUMIF(EFEITO!$B$2:$B$298,$Q$9,EFEITO!$AF$2:$AF$298)</f>
        <v>9194132.0437576417</v>
      </c>
      <c r="AC9" s="54">
        <f>SUMIF(EFEITO!$B$2:$B$298,$Q$9,EFEITO!$AG$2:$AH$298)</f>
        <v>1988021.584622605</v>
      </c>
      <c r="AD9" s="54">
        <f>SUMIF(SUBSIDIO!$B$2:$B$298,$Q$9,SUBSIDIO!$AD$2:$AD$298)</f>
        <v>0</v>
      </c>
      <c r="AE9" s="54">
        <f ca="1">SUMIF(SUBSIDIO!$B$2:$B$298,$Q$9,SUBSIDIO!$AE$2:$AE$298)</f>
        <v>66840.705725787004</v>
      </c>
      <c r="AF9" s="54" t="str">
        <f>IF(ABS($X$9-$AA$9)&lt;0.01,"OK","ERRO")</f>
        <v>OK</v>
      </c>
      <c r="AG9" s="54" t="str">
        <f ca="1">IF(ABS($Y$9-$AB$9)&lt;0.01,"OK","ERRO")</f>
        <v>OK</v>
      </c>
      <c r="AH9" s="54" t="str">
        <f>IF(ABS($Z$9-$AC$9)&lt;0.01,"OK","ERRO")</f>
        <v>OK</v>
      </c>
      <c r="AI9" s="54" t="str">
        <f>IF(ABS($U$9-$AD$9)&lt;0.01,"OK","ERRO")</f>
        <v>OK</v>
      </c>
      <c r="AJ9" s="54" t="str">
        <f ca="1">IF(ABS(($V$9+$W$9)-$AE$9)&lt;0.01,"OK","ERRO")</f>
        <v>OK</v>
      </c>
    </row>
    <row r="10" spans="1:40" ht="11.25" customHeight="1" x14ac:dyDescent="0.2">
      <c r="A10" s="53" t="s">
        <v>21</v>
      </c>
      <c r="B10" s="53" t="s">
        <v>36</v>
      </c>
      <c r="C10" s="53" t="s">
        <v>37</v>
      </c>
      <c r="D10" s="53" t="s">
        <v>35</v>
      </c>
      <c r="E10" s="53" t="s">
        <v>25</v>
      </c>
      <c r="F10" s="53" t="s">
        <v>25</v>
      </c>
      <c r="G10" s="53" t="s">
        <v>25</v>
      </c>
      <c r="H10" s="53" t="s">
        <v>39</v>
      </c>
      <c r="I10" s="74">
        <v>44531</v>
      </c>
      <c r="J10" s="75">
        <f>EFEITO!$J$10*EFEITO!$Y$10</f>
        <v>0</v>
      </c>
      <c r="K10" s="75">
        <f ca="1">EFEITO!$L$10*EFEITO!$Z$10</f>
        <v>29560.791765793725</v>
      </c>
      <c r="L10" s="75">
        <f>EFEITO!$N$10*EFEITO!$AA$10</f>
        <v>49229.360644405933</v>
      </c>
      <c r="M10" s="75">
        <f>$J$10-EFEITO!$K$10*EFEITO!$Y$10</f>
        <v>0</v>
      </c>
      <c r="N10" s="75">
        <f ca="1">$K$10-EFEITO!$M$10*EFEITO!$Z$10</f>
        <v>0</v>
      </c>
      <c r="O10" s="75">
        <f>$L$10-EFEITO!$O$10*EFEITO!$AA$10</f>
        <v>0</v>
      </c>
      <c r="P10" s="57"/>
      <c r="Q10" s="75" t="s">
        <v>40</v>
      </c>
      <c r="R10" s="75">
        <f>SUMIF($B$2:$B$298,$Q$10,$J$2:$J$298)</f>
        <v>0</v>
      </c>
      <c r="S10" s="75">
        <f ca="1">SUMIF($B$2:$B$298,$Q$10,$K$2:$K$298)</f>
        <v>1586592.3040052922</v>
      </c>
      <c r="T10" s="75">
        <f>SUMIF($B$2:$B$298,$Q$10,$L$2:$L$298)</f>
        <v>342335.60948858183</v>
      </c>
      <c r="U10" s="75">
        <f>SUMIF($B$2:$B$298,$Q$10,$M$2:$M$298)</f>
        <v>0</v>
      </c>
      <c r="V10" s="75">
        <f ca="1">SUMIF($B$2:$B$298,$Q$10,$N$2:$N$298)</f>
        <v>95195.538240317474</v>
      </c>
      <c r="W10" s="75">
        <f>SUMIF($B$2:$B$298,$Q$10,$O$2:$O$298)</f>
        <v>20540.136569314953</v>
      </c>
      <c r="X10" s="54">
        <f>$R$10-$U$10</f>
        <v>0</v>
      </c>
      <c r="Y10" s="54">
        <f ca="1">$S$10-$V$10</f>
        <v>1491396.7657649748</v>
      </c>
      <c r="Z10" s="54">
        <f>$T$10-$W$10</f>
        <v>321795.4729192669</v>
      </c>
      <c r="AA10" s="54">
        <f>SUMIF(EFEITO!$B$2:$B$298,$Q$10,EFEITO!$AE$2:$AE$298)</f>
        <v>0</v>
      </c>
      <c r="AB10" s="54">
        <f ca="1">SUMIF(EFEITO!$B$2:$B$298,$Q$10,EFEITO!$AF$2:$AF$298)</f>
        <v>1491396.7657649748</v>
      </c>
      <c r="AC10" s="54">
        <f>SUMIF(EFEITO!$B$2:$B$298,$Q$10,EFEITO!$AG$2:$AH$298)</f>
        <v>321795.47291926685</v>
      </c>
      <c r="AD10" s="54">
        <f>SUMIF(SUBSIDIO!$B$2:$B$298,$Q$10,SUBSIDIO!$AD$2:$AD$298)</f>
        <v>0</v>
      </c>
      <c r="AE10" s="54">
        <f ca="1">SUMIF(SUBSIDIO!$B$2:$B$298,$Q$10,SUBSIDIO!$AE$2:$AE$298)</f>
        <v>115735.67480963246</v>
      </c>
      <c r="AF10" s="54" t="str">
        <f>IF(ABS($X$10-$AA$10)&lt;0.01,"OK","ERRO")</f>
        <v>OK</v>
      </c>
      <c r="AG10" s="54" t="str">
        <f ca="1">IF(ABS($Y$10-$AB$10)&lt;0.01,"OK","ERRO")</f>
        <v>OK</v>
      </c>
      <c r="AH10" s="54" t="str">
        <f>IF(ABS($Z$10-$AC$10)&lt;0.01,"OK","ERRO")</f>
        <v>OK</v>
      </c>
      <c r="AI10" s="54" t="str">
        <f>IF(ABS($U$10-$AD$10)&lt;0.01,"OK","ERRO")</f>
        <v>OK</v>
      </c>
      <c r="AJ10" s="54" t="str">
        <f ca="1">IF(ABS(($V$10+$W$10)-$AE$10)&lt;0.01,"OK","ERRO")</f>
        <v>OK</v>
      </c>
    </row>
    <row r="11" spans="1:40" ht="11.25" customHeight="1" x14ac:dyDescent="0.2">
      <c r="A11" s="53" t="s">
        <v>21</v>
      </c>
      <c r="B11" s="53" t="s">
        <v>36</v>
      </c>
      <c r="C11" s="53" t="s">
        <v>37</v>
      </c>
      <c r="D11" s="53" t="s">
        <v>35</v>
      </c>
      <c r="E11" s="53" t="s">
        <v>25</v>
      </c>
      <c r="F11" s="53" t="s">
        <v>25</v>
      </c>
      <c r="G11" s="53" t="s">
        <v>25</v>
      </c>
      <c r="H11" s="53" t="s">
        <v>39</v>
      </c>
      <c r="I11" s="74">
        <v>44562</v>
      </c>
      <c r="J11" s="75">
        <f>EFEITO!$J$11*EFEITO!$Y$11</f>
        <v>0</v>
      </c>
      <c r="K11" s="75">
        <f ca="1">EFEITO!$L$11*EFEITO!$Z$11</f>
        <v>32839.192811980174</v>
      </c>
      <c r="L11" s="75">
        <f>EFEITO!$N$11*EFEITO!$AA$11</f>
        <v>54689.078662732725</v>
      </c>
      <c r="M11" s="75">
        <f>$J$11-EFEITO!$K$11*EFEITO!$Y$11</f>
        <v>0</v>
      </c>
      <c r="N11" s="75">
        <f ca="1">$K$11-EFEITO!$M$11*EFEITO!$Z$11</f>
        <v>0</v>
      </c>
      <c r="O11" s="75">
        <f>$L$11-EFEITO!$O$11*EFEITO!$AA$11</f>
        <v>0</v>
      </c>
      <c r="P11" s="57"/>
      <c r="Q11" s="75" t="s">
        <v>33</v>
      </c>
      <c r="R11" s="75">
        <f>SUMIF($B$2:$B$298,$Q$11,$J$2:$J$298)</f>
        <v>0</v>
      </c>
      <c r="S11" s="75">
        <f ca="1">SUMIF($B$2:$B$298,$Q$11,$K$2:$K$298)</f>
        <v>6821383.3167575672</v>
      </c>
      <c r="T11" s="75">
        <f>SUMIF($B$2:$B$298,$Q$11,$L$2:$L$298)</f>
        <v>1471835.2089584179</v>
      </c>
      <c r="U11" s="75">
        <f>SUMIF($B$2:$B$298,$Q$11,$M$2:$M$298)</f>
        <v>0</v>
      </c>
      <c r="V11" s="75">
        <f ca="1">SUMIF($B$2:$B$298,$Q$11,$N$2:$N$298)</f>
        <v>2824.3728127919212</v>
      </c>
      <c r="W11" s="75">
        <f>SUMIF($B$2:$B$298,$Q$11,$O$2:$O$298)</f>
        <v>609.40884803817562</v>
      </c>
      <c r="X11" s="54">
        <f>$R$11-$U$11</f>
        <v>0</v>
      </c>
      <c r="Y11" s="54">
        <f ca="1">$S$11-$V$11</f>
        <v>6818558.9439447755</v>
      </c>
      <c r="Z11" s="54">
        <f>$T$11-$W$11</f>
        <v>1471225.8001103797</v>
      </c>
      <c r="AA11" s="54">
        <f>SUMIF(EFEITO!$B$2:$B$298,$Q$11,EFEITO!$AE$2:$AE$298)</f>
        <v>0</v>
      </c>
      <c r="AB11" s="54">
        <f ca="1">SUMIF(EFEITO!$B$2:$B$298,$Q$11,EFEITO!$AF$2:$AF$298)</f>
        <v>6818558.9439447736</v>
      </c>
      <c r="AC11" s="54">
        <f>SUMIF(EFEITO!$B$2:$B$298,$Q$11,EFEITO!$AG$2:$AH$298)</f>
        <v>1471225.8001103792</v>
      </c>
      <c r="AD11" s="54">
        <f>SUMIF(SUBSIDIO!$B$2:$B$298,$Q$11,SUBSIDIO!$AD$2:$AD$298)</f>
        <v>0</v>
      </c>
      <c r="AE11" s="54">
        <f ca="1">SUMIF(SUBSIDIO!$B$2:$B$298,$Q$11,SUBSIDIO!$AE$2:$AE$298)</f>
        <v>3433.7816608300909</v>
      </c>
      <c r="AF11" s="54" t="str">
        <f>IF(ABS($X$11-$AA$11)&lt;0.01,"OK","ERRO")</f>
        <v>OK</v>
      </c>
      <c r="AG11" s="54" t="str">
        <f ca="1">IF(ABS($Y$11-$AB$11)&lt;0.01,"OK","ERRO")</f>
        <v>OK</v>
      </c>
      <c r="AH11" s="54" t="str">
        <f>IF(ABS($Z$11-$AC$11)&lt;0.01,"OK","ERRO")</f>
        <v>OK</v>
      </c>
      <c r="AI11" s="54" t="str">
        <f>IF(ABS($U$11-$AD$11)&lt;0.01,"OK","ERRO")</f>
        <v>OK</v>
      </c>
      <c r="AJ11" s="54" t="str">
        <f ca="1">IF(ABS(($V$11+$W$11)-$AE$11)&lt;0.01,"OK","ERRO")</f>
        <v>OK</v>
      </c>
    </row>
    <row r="12" spans="1:40" ht="11.25" customHeight="1" x14ac:dyDescent="0.2">
      <c r="A12" s="53" t="s">
        <v>21</v>
      </c>
      <c r="B12" s="53" t="s">
        <v>36</v>
      </c>
      <c r="C12" s="53" t="s">
        <v>37</v>
      </c>
      <c r="D12" s="53" t="s">
        <v>35</v>
      </c>
      <c r="E12" s="53" t="s">
        <v>25</v>
      </c>
      <c r="F12" s="53" t="s">
        <v>25</v>
      </c>
      <c r="G12" s="53" t="s">
        <v>25</v>
      </c>
      <c r="H12" s="53" t="s">
        <v>39</v>
      </c>
      <c r="I12" s="74">
        <v>44593</v>
      </c>
      <c r="J12" s="75">
        <f>EFEITO!$J$12*EFEITO!$Y$12</f>
        <v>0</v>
      </c>
      <c r="K12" s="75">
        <f ca="1">EFEITO!$L$12*EFEITO!$Z$12</f>
        <v>25667.249878145416</v>
      </c>
      <c r="L12" s="75">
        <f>EFEITO!$N$12*EFEITO!$AA$12</f>
        <v>42745.211664575887</v>
      </c>
      <c r="M12" s="75">
        <f>$J$12-EFEITO!$K$12*EFEITO!$Y$12</f>
        <v>0</v>
      </c>
      <c r="N12" s="75">
        <f ca="1">$K$12-EFEITO!$M$12*EFEITO!$Z$12</f>
        <v>0</v>
      </c>
      <c r="O12" s="75">
        <f>$L$12-EFEITO!$O$12*EFEITO!$AA$12</f>
        <v>0</v>
      </c>
      <c r="P12" s="57"/>
      <c r="Q12" s="75" t="s">
        <v>43</v>
      </c>
      <c r="R12" s="75">
        <f>SUMIF($B$2:$B$298,$Q$12,$J$2:$J$298)</f>
        <v>0</v>
      </c>
      <c r="S12" s="75">
        <f ca="1">SUMIF($B$2:$B$298,$Q$12,$K$2:$K$298)</f>
        <v>369328.41313021851</v>
      </c>
      <c r="T12" s="75">
        <f>SUMIF($B$2:$B$298,$Q$12,$L$2:$L$298)</f>
        <v>79689.197465035963</v>
      </c>
      <c r="U12" s="75">
        <f>SUMIF($B$2:$B$298,$Q$12,$M$2:$M$298)</f>
        <v>0</v>
      </c>
      <c r="V12" s="75">
        <f ca="1">SUMIF($B$2:$B$298,$Q$12,$N$2:$N$298)</f>
        <v>0</v>
      </c>
      <c r="W12" s="75">
        <f>SUMIF($B$2:$B$298,$Q$12,$O$2:$O$298)</f>
        <v>0</v>
      </c>
      <c r="X12" s="54">
        <f>$R$12-$U$12</f>
        <v>0</v>
      </c>
      <c r="Y12" s="54">
        <f ca="1">$S$12-$V$12</f>
        <v>369328.41313021851</v>
      </c>
      <c r="Z12" s="54">
        <f>$T$12-$W$12</f>
        <v>79689.197465035963</v>
      </c>
      <c r="AA12" s="54">
        <f>SUMIF(EFEITO!$B$2:$B$298,$Q$12,EFEITO!$AE$2:$AE$298)</f>
        <v>0</v>
      </c>
      <c r="AB12" s="54">
        <f ca="1">SUMIF(EFEITO!$B$2:$B$298,$Q$12,EFEITO!$AF$2:$AF$298)</f>
        <v>369328.41313021851</v>
      </c>
      <c r="AC12" s="54">
        <f>SUMIF(EFEITO!$B$2:$B$298,$Q$12,EFEITO!$AG$2:$AH$298)</f>
        <v>79689.197465035963</v>
      </c>
      <c r="AD12" s="54">
        <f>SUMIF(SUBSIDIO!$B$2:$B$298,$Q$12,SUBSIDIO!$AD$2:$AD$298)</f>
        <v>0</v>
      </c>
      <c r="AE12" s="54">
        <f>SUMIF(SUBSIDIO!$B$2:$B$298,$Q$12,SUBSIDIO!$AE$2:$AE$298)</f>
        <v>0</v>
      </c>
      <c r="AF12" s="54" t="str">
        <f>IF(ABS($X$12-$AA$12)&lt;0.01,"OK","ERRO")</f>
        <v>OK</v>
      </c>
      <c r="AG12" s="54" t="str">
        <f ca="1">IF(ABS($Y$12-$AB$12)&lt;0.01,"OK","ERRO")</f>
        <v>OK</v>
      </c>
      <c r="AH12" s="54" t="str">
        <f>IF(ABS($Z$12-$AC$12)&lt;0.01,"OK","ERRO")</f>
        <v>OK</v>
      </c>
      <c r="AI12" s="54" t="str">
        <f>IF(ABS($U$12-$AD$12)&lt;0.01,"OK","ERRO")</f>
        <v>OK</v>
      </c>
      <c r="AJ12" s="54" t="str">
        <f ca="1">IF(ABS(($V$12+$W$12)-$AE$12)&lt;0.01,"OK","ERRO")</f>
        <v>OK</v>
      </c>
    </row>
    <row r="13" spans="1:40" ht="11.25" customHeight="1" x14ac:dyDescent="0.2">
      <c r="A13" s="53" t="s">
        <v>21</v>
      </c>
      <c r="B13" s="53" t="s">
        <v>36</v>
      </c>
      <c r="C13" s="53" t="s">
        <v>37</v>
      </c>
      <c r="D13" s="53" t="s">
        <v>35</v>
      </c>
      <c r="E13" s="53" t="s">
        <v>25</v>
      </c>
      <c r="F13" s="53" t="s">
        <v>25</v>
      </c>
      <c r="G13" s="53" t="s">
        <v>25</v>
      </c>
      <c r="H13" s="53" t="s">
        <v>39</v>
      </c>
      <c r="I13" s="74">
        <v>44621</v>
      </c>
      <c r="J13" s="75">
        <f>EFEITO!$J$13*EFEITO!$Y$13</f>
        <v>0</v>
      </c>
      <c r="K13" s="75">
        <f ca="1">EFEITO!$L$13*EFEITO!$Z$13</f>
        <v>28573.475123182903</v>
      </c>
      <c r="L13" s="75">
        <f>EFEITO!$N$13*EFEITO!$AA$13</f>
        <v>47585.122984792382</v>
      </c>
      <c r="M13" s="75">
        <f>$J$13-EFEITO!$K$13*EFEITO!$Y$13</f>
        <v>0</v>
      </c>
      <c r="N13" s="75">
        <f ca="1">$K$13-EFEITO!$M$13*EFEITO!$Z$13</f>
        <v>0</v>
      </c>
      <c r="O13" s="75">
        <f>$L$13-EFEITO!$O$13*EFEITO!$AA$13</f>
        <v>0</v>
      </c>
      <c r="P13" s="57"/>
      <c r="Q13" s="75" t="s">
        <v>77</v>
      </c>
      <c r="R13" s="75">
        <f>SUMIF($B$2:$B$298,$Q$13,$J$2:$J$298)</f>
        <v>0</v>
      </c>
      <c r="S13" s="75">
        <f>SUMIF($B$2:$B$298,$Q$13,$K$2:$K$298)</f>
        <v>0</v>
      </c>
      <c r="T13" s="75">
        <f>SUMIF($B$2:$B$298,$Q$13,$L$2:$L$298)</f>
        <v>0</v>
      </c>
      <c r="U13" s="75">
        <f>SUMIF($B$2:$B$298,$Q$13,$M$2:$M$298)</f>
        <v>0</v>
      </c>
      <c r="V13" s="75">
        <f>SUMIF($B$2:$B$298,$Q$13,$N$2:$N$298)</f>
        <v>0</v>
      </c>
      <c r="W13" s="75">
        <f>SUMIF($B$2:$B$298,$Q$13,$O$2:$O$298)</f>
        <v>0</v>
      </c>
      <c r="X13" s="54">
        <f>$R$13-$U$13</f>
        <v>0</v>
      </c>
      <c r="Y13" s="54">
        <f>$S$13-$V$13</f>
        <v>0</v>
      </c>
      <c r="Z13" s="54">
        <f>$T$13-$W$13</f>
        <v>0</v>
      </c>
      <c r="AA13" s="54">
        <f>SUMIF(EFEITO!$B$2:$B$298,$Q$13,EFEITO!$AE$2:$AE$298)</f>
        <v>0</v>
      </c>
      <c r="AB13" s="54">
        <f>SUMIF(EFEITO!$B$2:$B$298,$Q$13,EFEITO!$AF$2:$AF$298)</f>
        <v>0</v>
      </c>
      <c r="AC13" s="54">
        <f>SUMIF(EFEITO!$B$2:$B$298,$Q$13,EFEITO!$AG$2:$AH$298)</f>
        <v>0</v>
      </c>
      <c r="AD13" s="54">
        <f>SUMIF(SUBSIDIO!$B$2:$B$298,$Q$13,SUBSIDIO!$AD$2:$AD$298)</f>
        <v>0</v>
      </c>
      <c r="AE13" s="54">
        <f>SUMIF(SUBSIDIO!$B$2:$B$298,$Q$13,SUBSIDIO!$AE$2:$AE$298)</f>
        <v>0</v>
      </c>
      <c r="AF13" s="54" t="str">
        <f>IF(ABS($X$13-$AA$13)&lt;0.01,"OK","ERRO")</f>
        <v>OK</v>
      </c>
      <c r="AG13" s="54" t="str">
        <f>IF(ABS($Y$13-$AB$13)&lt;0.01,"OK","ERRO")</f>
        <v>OK</v>
      </c>
      <c r="AH13" s="54" t="str">
        <f>IF(ABS($Z$13-$AC$13)&lt;0.01,"OK","ERRO")</f>
        <v>OK</v>
      </c>
      <c r="AI13" s="54" t="str">
        <f>IF(ABS($U$13-$AD$13)&lt;0.01,"OK","ERRO")</f>
        <v>OK</v>
      </c>
      <c r="AJ13" s="54" t="str">
        <f>IF(ABS(($V$13+$W$13)-$AE$13)&lt;0.01,"OK","ERRO")</f>
        <v>OK</v>
      </c>
    </row>
    <row r="14" spans="1:40" ht="11.25" customHeight="1" x14ac:dyDescent="0.2">
      <c r="A14" s="53" t="s">
        <v>21</v>
      </c>
      <c r="B14" s="53" t="s">
        <v>36</v>
      </c>
      <c r="C14" s="53" t="s">
        <v>37</v>
      </c>
      <c r="D14" s="53" t="s">
        <v>35</v>
      </c>
      <c r="E14" s="53" t="s">
        <v>25</v>
      </c>
      <c r="F14" s="53" t="s">
        <v>25</v>
      </c>
      <c r="G14" s="53" t="s">
        <v>25</v>
      </c>
      <c r="H14" s="53" t="s">
        <v>25</v>
      </c>
      <c r="I14" s="74">
        <v>44287</v>
      </c>
      <c r="J14" s="75">
        <f ca="1">EFEITO!$J$14*EFEITO!$Y$14</f>
        <v>81939.001968267752</v>
      </c>
      <c r="K14" s="75">
        <f>EFEITO!$L$14*EFEITO!$Z$14</f>
        <v>0</v>
      </c>
      <c r="L14" s="75">
        <f>EFEITO!$N$14*EFEITO!$AA$14</f>
        <v>0</v>
      </c>
      <c r="M14" s="75">
        <f ca="1">$J$14-EFEITO!$K$14*EFEITO!$Y$14</f>
        <v>0</v>
      </c>
      <c r="N14" s="75">
        <f>$K$14-EFEITO!$M$14*EFEITO!$Z$14</f>
        <v>0</v>
      </c>
      <c r="O14" s="75">
        <f>$L$14-EFEITO!$O$14*EFEITO!$AA$14</f>
        <v>0</v>
      </c>
      <c r="P14" s="57"/>
      <c r="Q14" s="57"/>
      <c r="R14" s="57"/>
      <c r="S14" s="57"/>
      <c r="T14" s="57"/>
      <c r="U14" s="57"/>
      <c r="V14" s="57"/>
      <c r="W14" s="57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53" t="s">
        <v>21</v>
      </c>
      <c r="B15" s="53" t="s">
        <v>36</v>
      </c>
      <c r="C15" s="53" t="s">
        <v>37</v>
      </c>
      <c r="D15" s="53" t="s">
        <v>35</v>
      </c>
      <c r="E15" s="53" t="s">
        <v>25</v>
      </c>
      <c r="F15" s="53" t="s">
        <v>25</v>
      </c>
      <c r="G15" s="53" t="s">
        <v>25</v>
      </c>
      <c r="H15" s="53" t="s">
        <v>25</v>
      </c>
      <c r="I15" s="74">
        <v>44317</v>
      </c>
      <c r="J15" s="75">
        <f ca="1">EFEITO!$J$15*EFEITO!$Y$15</f>
        <v>80906.157405642516</v>
      </c>
      <c r="K15" s="75">
        <f>EFEITO!$L$15*EFEITO!$Z$15</f>
        <v>0</v>
      </c>
      <c r="L15" s="75">
        <f>EFEITO!$N$15*EFEITO!$AA$15</f>
        <v>0</v>
      </c>
      <c r="M15" s="75">
        <f ca="1">$J$15-EFEITO!$K$15*EFEITO!$Y$15</f>
        <v>0</v>
      </c>
      <c r="N15" s="75">
        <f>$K$15-EFEITO!$M$15*EFEITO!$Z$15</f>
        <v>0</v>
      </c>
      <c r="O15" s="75">
        <f>$L$15-EFEITO!$O$15*EFEITO!$AA$15</f>
        <v>0</v>
      </c>
      <c r="P15" s="57"/>
      <c r="Q15" s="57"/>
      <c r="R15" s="57"/>
      <c r="S15" s="57"/>
      <c r="T15" s="57"/>
      <c r="U15" s="57"/>
      <c r="V15" s="57"/>
      <c r="W15" s="57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53" t="s">
        <v>21</v>
      </c>
      <c r="B16" s="53" t="s">
        <v>36</v>
      </c>
      <c r="C16" s="53" t="s">
        <v>37</v>
      </c>
      <c r="D16" s="53" t="s">
        <v>35</v>
      </c>
      <c r="E16" s="53" t="s">
        <v>25</v>
      </c>
      <c r="F16" s="53" t="s">
        <v>25</v>
      </c>
      <c r="G16" s="53" t="s">
        <v>25</v>
      </c>
      <c r="H16" s="53" t="s">
        <v>25</v>
      </c>
      <c r="I16" s="74">
        <v>44348</v>
      </c>
      <c r="J16" s="75">
        <f ca="1">EFEITO!$J$16*EFEITO!$Y$16</f>
        <v>81801.289359917719</v>
      </c>
      <c r="K16" s="75">
        <f>EFEITO!$L$16*EFEITO!$Z$16</f>
        <v>0</v>
      </c>
      <c r="L16" s="75">
        <f>EFEITO!$N$16*EFEITO!$AA$16</f>
        <v>0</v>
      </c>
      <c r="M16" s="75">
        <f ca="1">$J$16-EFEITO!$K$16*EFEITO!$Y$16</f>
        <v>0</v>
      </c>
      <c r="N16" s="75">
        <f>$K$16-EFEITO!$M$16*EFEITO!$Z$16</f>
        <v>0</v>
      </c>
      <c r="O16" s="75">
        <f>$L$16-EFEITO!$O$16*EFEITO!$AA$16</f>
        <v>0</v>
      </c>
      <c r="P16" s="57"/>
      <c r="Q16" s="57"/>
      <c r="R16" s="57"/>
      <c r="S16" s="57"/>
      <c r="T16" s="57"/>
      <c r="U16" s="57"/>
      <c r="V16" s="57"/>
      <c r="W16" s="57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53" t="s">
        <v>21</v>
      </c>
      <c r="B17" s="53" t="s">
        <v>36</v>
      </c>
      <c r="C17" s="53" t="s">
        <v>37</v>
      </c>
      <c r="D17" s="53" t="s">
        <v>35</v>
      </c>
      <c r="E17" s="53" t="s">
        <v>25</v>
      </c>
      <c r="F17" s="53" t="s">
        <v>25</v>
      </c>
      <c r="G17" s="53" t="s">
        <v>25</v>
      </c>
      <c r="H17" s="53" t="s">
        <v>25</v>
      </c>
      <c r="I17" s="74">
        <v>44378</v>
      </c>
      <c r="J17" s="75">
        <f ca="1">EFEITO!$J$17*EFEITO!$Y$17</f>
        <v>72918.826121340797</v>
      </c>
      <c r="K17" s="75">
        <f>EFEITO!$L$17*EFEITO!$Z$17</f>
        <v>0</v>
      </c>
      <c r="L17" s="75">
        <f>EFEITO!$N$17*EFEITO!$AA$17</f>
        <v>0</v>
      </c>
      <c r="M17" s="75">
        <f ca="1">$J$17-EFEITO!$K$17*EFEITO!$Y$17</f>
        <v>0</v>
      </c>
      <c r="N17" s="75">
        <f>$K$17-EFEITO!$M$17*EFEITO!$Z$17</f>
        <v>0</v>
      </c>
      <c r="O17" s="75">
        <f>$L$17-EFEITO!$O$17*EFEITO!$AA$17</f>
        <v>0</v>
      </c>
      <c r="P17" s="57"/>
      <c r="Q17" s="57"/>
      <c r="R17" s="57"/>
      <c r="S17" s="57"/>
      <c r="T17" s="57"/>
      <c r="U17" s="57"/>
      <c r="V17" s="57"/>
      <c r="W17" s="57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53" t="s">
        <v>21</v>
      </c>
      <c r="B18" s="53" t="s">
        <v>36</v>
      </c>
      <c r="C18" s="53" t="s">
        <v>37</v>
      </c>
      <c r="D18" s="53" t="s">
        <v>35</v>
      </c>
      <c r="E18" s="53" t="s">
        <v>25</v>
      </c>
      <c r="F18" s="53" t="s">
        <v>25</v>
      </c>
      <c r="G18" s="53" t="s">
        <v>25</v>
      </c>
      <c r="H18" s="53" t="s">
        <v>25</v>
      </c>
      <c r="I18" s="74">
        <v>44409</v>
      </c>
      <c r="J18" s="75">
        <f ca="1">EFEITO!$J$18*EFEITO!$Y$18</f>
        <v>72505.688296290697</v>
      </c>
      <c r="K18" s="75">
        <f>EFEITO!$L$18*EFEITO!$Z$18</f>
        <v>0</v>
      </c>
      <c r="L18" s="75">
        <f>EFEITO!$N$18*EFEITO!$AA$18</f>
        <v>0</v>
      </c>
      <c r="M18" s="75">
        <f ca="1">$J$18-EFEITO!$K$18*EFEITO!$Y$18</f>
        <v>0</v>
      </c>
      <c r="N18" s="75">
        <f>$K$18-EFEITO!$M$18*EFEITO!$Z$18</f>
        <v>0</v>
      </c>
      <c r="O18" s="75">
        <f>$L$18-EFEITO!$O$18*EFEITO!$AA$18</f>
        <v>0</v>
      </c>
      <c r="P18" s="57"/>
      <c r="Q18" s="57"/>
      <c r="R18" s="57"/>
      <c r="S18" s="57"/>
      <c r="T18" s="57"/>
      <c r="U18" s="57"/>
      <c r="V18" s="57"/>
      <c r="W18" s="57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53" t="s">
        <v>21</v>
      </c>
      <c r="B19" s="53" t="s">
        <v>36</v>
      </c>
      <c r="C19" s="53" t="s">
        <v>37</v>
      </c>
      <c r="D19" s="53" t="s">
        <v>35</v>
      </c>
      <c r="E19" s="53" t="s">
        <v>25</v>
      </c>
      <c r="F19" s="53" t="s">
        <v>25</v>
      </c>
      <c r="G19" s="53" t="s">
        <v>25</v>
      </c>
      <c r="H19" s="53" t="s">
        <v>25</v>
      </c>
      <c r="I19" s="74">
        <v>44440</v>
      </c>
      <c r="J19" s="75">
        <f ca="1">EFEITO!$J$19*EFEITO!$Y$19</f>
        <v>74571.377421541154</v>
      </c>
      <c r="K19" s="75">
        <f>EFEITO!$L$19*EFEITO!$Z$19</f>
        <v>0</v>
      </c>
      <c r="L19" s="75">
        <f>EFEITO!$N$19*EFEITO!$AA$19</f>
        <v>0</v>
      </c>
      <c r="M19" s="75">
        <f ca="1">$J$19-EFEITO!$K$19*EFEITO!$Y$19</f>
        <v>0</v>
      </c>
      <c r="N19" s="75">
        <f>$K$19-EFEITO!$M$19*EFEITO!$Z$19</f>
        <v>0</v>
      </c>
      <c r="O19" s="75">
        <f>$L$19-EFEITO!$O$19*EFEITO!$AA$19</f>
        <v>0</v>
      </c>
      <c r="P19" s="57"/>
      <c r="Q19" s="57"/>
      <c r="R19" s="57"/>
      <c r="S19" s="57"/>
      <c r="T19" s="57"/>
      <c r="U19" s="57"/>
      <c r="V19" s="57"/>
      <c r="W19" s="57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53" t="s">
        <v>21</v>
      </c>
      <c r="B20" s="53" t="s">
        <v>36</v>
      </c>
      <c r="C20" s="53" t="s">
        <v>37</v>
      </c>
      <c r="D20" s="53" t="s">
        <v>35</v>
      </c>
      <c r="E20" s="53" t="s">
        <v>25</v>
      </c>
      <c r="F20" s="53" t="s">
        <v>25</v>
      </c>
      <c r="G20" s="53" t="s">
        <v>25</v>
      </c>
      <c r="H20" s="53" t="s">
        <v>25</v>
      </c>
      <c r="I20" s="74">
        <v>44470</v>
      </c>
      <c r="J20" s="75">
        <f ca="1">EFEITO!$J$20*EFEITO!$Y$20</f>
        <v>73813.958075615985</v>
      </c>
      <c r="K20" s="75">
        <f>EFEITO!$L$20*EFEITO!$Z$20</f>
        <v>0</v>
      </c>
      <c r="L20" s="75">
        <f>EFEITO!$N$20*EFEITO!$AA$20</f>
        <v>0</v>
      </c>
      <c r="M20" s="75">
        <f ca="1">$J$20-EFEITO!$K$20*EFEITO!$Y$20</f>
        <v>0</v>
      </c>
      <c r="N20" s="75">
        <f>$K$20-EFEITO!$M$20*EFEITO!$Z$20</f>
        <v>0</v>
      </c>
      <c r="O20" s="75">
        <f>$L$20-EFEITO!$O$20*EFEITO!$AA$20</f>
        <v>0</v>
      </c>
      <c r="P20" s="57"/>
      <c r="Q20" s="57"/>
      <c r="R20" s="57"/>
      <c r="S20" s="57"/>
      <c r="T20" s="57"/>
      <c r="U20" s="57"/>
      <c r="V20" s="57"/>
      <c r="W20" s="57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53" t="s">
        <v>21</v>
      </c>
      <c r="B21" s="53" t="s">
        <v>36</v>
      </c>
      <c r="C21" s="53" t="s">
        <v>37</v>
      </c>
      <c r="D21" s="53" t="s">
        <v>35</v>
      </c>
      <c r="E21" s="53" t="s">
        <v>25</v>
      </c>
      <c r="F21" s="53" t="s">
        <v>25</v>
      </c>
      <c r="G21" s="53" t="s">
        <v>25</v>
      </c>
      <c r="H21" s="53" t="s">
        <v>25</v>
      </c>
      <c r="I21" s="74">
        <v>44501</v>
      </c>
      <c r="J21" s="75">
        <f ca="1">EFEITO!$J$21*EFEITO!$Y$21</f>
        <v>77050.204371841683</v>
      </c>
      <c r="K21" s="75">
        <f>EFEITO!$L$21*EFEITO!$Z$21</f>
        <v>0</v>
      </c>
      <c r="L21" s="75">
        <f>EFEITO!$N$21*EFEITO!$AA$21</f>
        <v>0</v>
      </c>
      <c r="M21" s="75">
        <f ca="1">$J$21-EFEITO!$K$21*EFEITO!$Y$21</f>
        <v>0</v>
      </c>
      <c r="N21" s="75">
        <f>$K$21-EFEITO!$M$21*EFEITO!$Z$21</f>
        <v>0</v>
      </c>
      <c r="O21" s="75">
        <f>$L$21-EFEITO!$O$21*EFEITO!$AA$21</f>
        <v>0</v>
      </c>
      <c r="P21" s="57"/>
      <c r="Q21" s="57"/>
      <c r="R21" s="57"/>
      <c r="S21" s="57"/>
      <c r="T21" s="57"/>
      <c r="U21" s="57"/>
      <c r="V21" s="57"/>
      <c r="W21" s="57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53" t="s">
        <v>21</v>
      </c>
      <c r="B22" s="53" t="s">
        <v>36</v>
      </c>
      <c r="C22" s="53" t="s">
        <v>37</v>
      </c>
      <c r="D22" s="53" t="s">
        <v>35</v>
      </c>
      <c r="E22" s="53" t="s">
        <v>25</v>
      </c>
      <c r="F22" s="53" t="s">
        <v>25</v>
      </c>
      <c r="G22" s="53" t="s">
        <v>25</v>
      </c>
      <c r="H22" s="53" t="s">
        <v>25</v>
      </c>
      <c r="I22" s="74">
        <v>44531</v>
      </c>
      <c r="J22" s="75">
        <f ca="1">EFEITO!$J$22*EFEITO!$Y$22</f>
        <v>75948.503505041444</v>
      </c>
      <c r="K22" s="75">
        <f>EFEITO!$L$22*EFEITO!$Z$22</f>
        <v>0</v>
      </c>
      <c r="L22" s="75">
        <f>EFEITO!$N$22*EFEITO!$AA$22</f>
        <v>0</v>
      </c>
      <c r="M22" s="75">
        <f ca="1">$J$22-EFEITO!$K$22*EFEITO!$Y$22</f>
        <v>0</v>
      </c>
      <c r="N22" s="75">
        <f>$K$22-EFEITO!$M$22*EFEITO!$Z$22</f>
        <v>0</v>
      </c>
      <c r="O22" s="75">
        <f>$L$22-EFEITO!$O$22*EFEITO!$AA$22</f>
        <v>0</v>
      </c>
      <c r="P22" s="57"/>
      <c r="Q22" s="57"/>
      <c r="R22" s="57"/>
      <c r="S22" s="57"/>
      <c r="T22" s="57"/>
      <c r="U22" s="57"/>
      <c r="V22" s="57"/>
      <c r="W22" s="57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53" t="s">
        <v>21</v>
      </c>
      <c r="B23" s="53" t="s">
        <v>36</v>
      </c>
      <c r="C23" s="53" t="s">
        <v>37</v>
      </c>
      <c r="D23" s="53" t="s">
        <v>35</v>
      </c>
      <c r="E23" s="53" t="s">
        <v>25</v>
      </c>
      <c r="F23" s="53" t="s">
        <v>25</v>
      </c>
      <c r="G23" s="53" t="s">
        <v>25</v>
      </c>
      <c r="H23" s="53" t="s">
        <v>25</v>
      </c>
      <c r="I23" s="74">
        <v>44562</v>
      </c>
      <c r="J23" s="75">
        <f ca="1">EFEITO!$J$23*EFEITO!$Y$23</f>
        <v>79322.462409617176</v>
      </c>
      <c r="K23" s="75">
        <f>EFEITO!$L$23*EFEITO!$Z$23</f>
        <v>0</v>
      </c>
      <c r="L23" s="75">
        <f>EFEITO!$N$23*EFEITO!$AA$23</f>
        <v>0</v>
      </c>
      <c r="M23" s="75">
        <f ca="1">$J$23-EFEITO!$K$23*EFEITO!$Y$23</f>
        <v>0</v>
      </c>
      <c r="N23" s="75">
        <f>$K$23-EFEITO!$M$23*EFEITO!$Z$23</f>
        <v>0</v>
      </c>
      <c r="O23" s="75">
        <f>$L$23-EFEITO!$O$23*EFEITO!$AA$23</f>
        <v>0</v>
      </c>
      <c r="P23" s="57"/>
      <c r="Q23" s="57"/>
      <c r="R23" s="57"/>
      <c r="S23" s="57"/>
      <c r="T23" s="57"/>
      <c r="U23" s="57"/>
      <c r="V23" s="57"/>
      <c r="W23" s="57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53" t="s">
        <v>21</v>
      </c>
      <c r="B24" s="53" t="s">
        <v>36</v>
      </c>
      <c r="C24" s="53" t="s">
        <v>37</v>
      </c>
      <c r="D24" s="53" t="s">
        <v>35</v>
      </c>
      <c r="E24" s="53" t="s">
        <v>25</v>
      </c>
      <c r="F24" s="53" t="s">
        <v>25</v>
      </c>
      <c r="G24" s="53" t="s">
        <v>25</v>
      </c>
      <c r="H24" s="53" t="s">
        <v>25</v>
      </c>
      <c r="I24" s="74">
        <v>44593</v>
      </c>
      <c r="J24" s="75">
        <f ca="1">EFEITO!$J$24*EFEITO!$Y$24</f>
        <v>82765.277618367923</v>
      </c>
      <c r="K24" s="75">
        <f>EFEITO!$L$24*EFEITO!$Z$24</f>
        <v>0</v>
      </c>
      <c r="L24" s="75">
        <f>EFEITO!$N$24*EFEITO!$AA$24</f>
        <v>0</v>
      </c>
      <c r="M24" s="75">
        <f ca="1">$J$24-EFEITO!$K$24*EFEITO!$Y$24</f>
        <v>0</v>
      </c>
      <c r="N24" s="75">
        <f>$K$24-EFEITO!$M$24*EFEITO!$Z$24</f>
        <v>0</v>
      </c>
      <c r="O24" s="75">
        <f>$L$24-EFEITO!$O$24*EFEITO!$AA$24</f>
        <v>0</v>
      </c>
      <c r="P24" s="57"/>
      <c r="Q24" s="57"/>
      <c r="R24" s="57"/>
      <c r="S24" s="57"/>
      <c r="T24" s="57"/>
      <c r="U24" s="57"/>
      <c r="V24" s="57"/>
      <c r="W24" s="57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53" t="s">
        <v>21</v>
      </c>
      <c r="B25" s="53" t="s">
        <v>36</v>
      </c>
      <c r="C25" s="53" t="s">
        <v>37</v>
      </c>
      <c r="D25" s="53" t="s">
        <v>35</v>
      </c>
      <c r="E25" s="53" t="s">
        <v>25</v>
      </c>
      <c r="F25" s="53" t="s">
        <v>25</v>
      </c>
      <c r="G25" s="53" t="s">
        <v>25</v>
      </c>
      <c r="H25" s="53" t="s">
        <v>25</v>
      </c>
      <c r="I25" s="74">
        <v>44621</v>
      </c>
      <c r="J25" s="75">
        <f ca="1">EFEITO!$J$25*EFEITO!$Y$25</f>
        <v>84142.403701868228</v>
      </c>
      <c r="K25" s="75">
        <f>EFEITO!$L$25*EFEITO!$Z$25</f>
        <v>0</v>
      </c>
      <c r="L25" s="75">
        <f>EFEITO!$N$25*EFEITO!$AA$25</f>
        <v>0</v>
      </c>
      <c r="M25" s="75">
        <f ca="1">$J$25-EFEITO!$K$25*EFEITO!$Y$25</f>
        <v>0</v>
      </c>
      <c r="N25" s="75">
        <f>$K$25-EFEITO!$M$25*EFEITO!$Z$25</f>
        <v>0</v>
      </c>
      <c r="O25" s="75">
        <f>$L$25-EFEITO!$O$25*EFEITO!$AA$25</f>
        <v>0</v>
      </c>
      <c r="P25" s="57"/>
      <c r="Q25" s="57"/>
      <c r="R25" s="57"/>
      <c r="S25" s="57"/>
      <c r="T25" s="57"/>
      <c r="U25" s="57"/>
      <c r="V25" s="57"/>
      <c r="W25" s="57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53" t="s">
        <v>21</v>
      </c>
      <c r="B26" s="53" t="s">
        <v>36</v>
      </c>
      <c r="C26" s="53" t="s">
        <v>37</v>
      </c>
      <c r="D26" s="53" t="s">
        <v>35</v>
      </c>
      <c r="E26" s="53" t="s">
        <v>25</v>
      </c>
      <c r="F26" s="53" t="s">
        <v>25</v>
      </c>
      <c r="G26" s="53" t="s">
        <v>25</v>
      </c>
      <c r="H26" s="53" t="s">
        <v>38</v>
      </c>
      <c r="I26" s="74">
        <v>44287</v>
      </c>
      <c r="J26" s="75">
        <f>EFEITO!$J$26*EFEITO!$Y$26</f>
        <v>0</v>
      </c>
      <c r="K26" s="75">
        <f ca="1">EFEITO!$L$26*EFEITO!$Z$26</f>
        <v>49439.089941382997</v>
      </c>
      <c r="L26" s="75">
        <f>EFEITO!$N$26*EFEITO!$AA$26</f>
        <v>2300.3973188880627</v>
      </c>
      <c r="M26" s="75">
        <f>$J$26-EFEITO!$K$26*EFEITO!$Y$26</f>
        <v>0</v>
      </c>
      <c r="N26" s="75">
        <f ca="1">$K$26-EFEITO!$M$26*EFEITO!$Z$26</f>
        <v>0</v>
      </c>
      <c r="O26" s="75">
        <f>$L$26-EFEITO!$O$26*EFEITO!$AA$26</f>
        <v>0</v>
      </c>
      <c r="P26" s="57"/>
      <c r="Q26" s="57"/>
      <c r="R26" s="57"/>
      <c r="S26" s="57"/>
      <c r="T26" s="57"/>
      <c r="U26" s="57"/>
      <c r="V26" s="57"/>
      <c r="W26" s="5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53" t="s">
        <v>21</v>
      </c>
      <c r="B27" s="53" t="s">
        <v>36</v>
      </c>
      <c r="C27" s="53" t="s">
        <v>37</v>
      </c>
      <c r="D27" s="53" t="s">
        <v>35</v>
      </c>
      <c r="E27" s="53" t="s">
        <v>25</v>
      </c>
      <c r="F27" s="53" t="s">
        <v>25</v>
      </c>
      <c r="G27" s="53" t="s">
        <v>25</v>
      </c>
      <c r="H27" s="53" t="s">
        <v>38</v>
      </c>
      <c r="I27" s="74">
        <v>44317</v>
      </c>
      <c r="J27" s="75">
        <f>EFEITO!$J$27*EFEITO!$Y$27</f>
        <v>0</v>
      </c>
      <c r="K27" s="75">
        <f ca="1">EFEITO!$L$27*EFEITO!$Z$27</f>
        <v>47769.768490672774</v>
      </c>
      <c r="L27" s="75">
        <f>EFEITO!$N$27*EFEITO!$AA$27</f>
        <v>2222.7239111831655</v>
      </c>
      <c r="M27" s="75">
        <f>$J$27-EFEITO!$K$27*EFEITO!$Y$27</f>
        <v>0</v>
      </c>
      <c r="N27" s="75">
        <f ca="1">$K$27-EFEITO!$M$27*EFEITO!$Z$27</f>
        <v>0</v>
      </c>
      <c r="O27" s="75">
        <f>$L$27-EFEITO!$O$27*EFEITO!$AA$27</f>
        <v>0</v>
      </c>
      <c r="P27" s="57"/>
      <c r="Q27" s="57"/>
      <c r="R27" s="57"/>
      <c r="S27" s="57"/>
      <c r="T27" s="57"/>
      <c r="U27" s="57"/>
      <c r="V27" s="57"/>
      <c r="W27" s="57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53" t="s">
        <v>21</v>
      </c>
      <c r="B28" s="53" t="s">
        <v>36</v>
      </c>
      <c r="C28" s="53" t="s">
        <v>37</v>
      </c>
      <c r="D28" s="53" t="s">
        <v>35</v>
      </c>
      <c r="E28" s="53" t="s">
        <v>25</v>
      </c>
      <c r="F28" s="53" t="s">
        <v>25</v>
      </c>
      <c r="G28" s="53" t="s">
        <v>25</v>
      </c>
      <c r="H28" s="53" t="s">
        <v>38</v>
      </c>
      <c r="I28" s="74">
        <v>44348</v>
      </c>
      <c r="J28" s="75">
        <f>EFEITO!$J$28*EFEITO!$Y$28</f>
        <v>0</v>
      </c>
      <c r="K28" s="75">
        <f ca="1">EFEITO!$L$28*EFEITO!$Z$28</f>
        <v>49215.86672413686</v>
      </c>
      <c r="L28" s="75">
        <f>EFEITO!$N$28*EFEITO!$AA$28</f>
        <v>2290.010758555431</v>
      </c>
      <c r="M28" s="75">
        <f>$J$28-EFEITO!$K$28*EFEITO!$Y$28</f>
        <v>0</v>
      </c>
      <c r="N28" s="75">
        <f ca="1">$K$28-EFEITO!$M$28*EFEITO!$Z$28</f>
        <v>0</v>
      </c>
      <c r="O28" s="75">
        <f>$L$28-EFEITO!$O$28*EFEITO!$AA$28</f>
        <v>0</v>
      </c>
      <c r="P28" s="57"/>
      <c r="Q28" s="57"/>
      <c r="R28" s="57"/>
      <c r="S28" s="57"/>
      <c r="T28" s="57"/>
      <c r="U28" s="57"/>
      <c r="V28" s="57"/>
      <c r="W28" s="57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53" t="s">
        <v>21</v>
      </c>
      <c r="B29" s="53" t="s">
        <v>36</v>
      </c>
      <c r="C29" s="53" t="s">
        <v>37</v>
      </c>
      <c r="D29" s="53" t="s">
        <v>35</v>
      </c>
      <c r="E29" s="53" t="s">
        <v>25</v>
      </c>
      <c r="F29" s="53" t="s">
        <v>25</v>
      </c>
      <c r="G29" s="53" t="s">
        <v>25</v>
      </c>
      <c r="H29" s="53" t="s">
        <v>38</v>
      </c>
      <c r="I29" s="74">
        <v>44378</v>
      </c>
      <c r="J29" s="75">
        <f>EFEITO!$J$29*EFEITO!$Y$29</f>
        <v>0</v>
      </c>
      <c r="K29" s="75">
        <f ca="1">EFEITO!$L$29*EFEITO!$Z$29</f>
        <v>62953.799942045705</v>
      </c>
      <c r="L29" s="75">
        <f>EFEITO!$N$29*EFEITO!$AA$29</f>
        <v>2929.235808591955</v>
      </c>
      <c r="M29" s="75">
        <f>$J$29-EFEITO!$K$29*EFEITO!$Y$29</f>
        <v>0</v>
      </c>
      <c r="N29" s="75">
        <f ca="1">$K$29-EFEITO!$M$29*EFEITO!$Z$29</f>
        <v>0</v>
      </c>
      <c r="O29" s="75">
        <f>$L$29-EFEITO!$O$29*EFEITO!$AA$29</f>
        <v>0</v>
      </c>
      <c r="P29" s="57"/>
      <c r="Q29" s="57"/>
      <c r="R29" s="57"/>
      <c r="S29" s="57"/>
      <c r="T29" s="57"/>
      <c r="U29" s="57"/>
      <c r="V29" s="57"/>
      <c r="W29" s="57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53" t="s">
        <v>21</v>
      </c>
      <c r="B30" s="53" t="s">
        <v>36</v>
      </c>
      <c r="C30" s="53" t="s">
        <v>37</v>
      </c>
      <c r="D30" s="53" t="s">
        <v>35</v>
      </c>
      <c r="E30" s="53" t="s">
        <v>25</v>
      </c>
      <c r="F30" s="53" t="s">
        <v>25</v>
      </c>
      <c r="G30" s="53" t="s">
        <v>25</v>
      </c>
      <c r="H30" s="53" t="s">
        <v>38</v>
      </c>
      <c r="I30" s="74">
        <v>44409</v>
      </c>
      <c r="J30" s="75">
        <f>EFEITO!$J$30*EFEITO!$Y$30</f>
        <v>0</v>
      </c>
      <c r="K30" s="75">
        <f ca="1">EFEITO!$L$30*EFEITO!$Z$30</f>
        <v>56713.255216425503</v>
      </c>
      <c r="L30" s="75">
        <f>EFEITO!$N$30*EFEITO!$AA$30</f>
        <v>2638.8637088579494</v>
      </c>
      <c r="M30" s="75">
        <f>$J$30-EFEITO!$K$30*EFEITO!$Y$30</f>
        <v>0</v>
      </c>
      <c r="N30" s="75">
        <f ca="1">$K$30-EFEITO!$M$30*EFEITO!$Z$30</f>
        <v>0</v>
      </c>
      <c r="O30" s="75">
        <f>$L$30-EFEITO!$O$30*EFEITO!$AA$30</f>
        <v>0</v>
      </c>
      <c r="P30" s="57"/>
      <c r="Q30" s="57"/>
      <c r="R30" s="57"/>
      <c r="S30" s="57"/>
      <c r="T30" s="57"/>
      <c r="U30" s="57"/>
      <c r="V30" s="57"/>
      <c r="W30" s="57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53" t="s">
        <v>21</v>
      </c>
      <c r="B31" s="53" t="s">
        <v>36</v>
      </c>
      <c r="C31" s="53" t="s">
        <v>37</v>
      </c>
      <c r="D31" s="53" t="s">
        <v>35</v>
      </c>
      <c r="E31" s="53" t="s">
        <v>25</v>
      </c>
      <c r="F31" s="53" t="s">
        <v>25</v>
      </c>
      <c r="G31" s="53" t="s">
        <v>25</v>
      </c>
      <c r="H31" s="53" t="s">
        <v>38</v>
      </c>
      <c r="I31" s="74">
        <v>44440</v>
      </c>
      <c r="J31" s="75">
        <f>EFEITO!$J$31*EFEITO!$Y$31</f>
        <v>0</v>
      </c>
      <c r="K31" s="75">
        <f ca="1">EFEITO!$L$31*EFEITO!$Z$31</f>
        <v>58212.732914883243</v>
      </c>
      <c r="L31" s="75">
        <f>EFEITO!$N$31*EFEITO!$AA$31</f>
        <v>2708.6342989184532</v>
      </c>
      <c r="M31" s="75">
        <f>$J$31-EFEITO!$K$31*EFEITO!$Y$31</f>
        <v>0</v>
      </c>
      <c r="N31" s="75">
        <f ca="1">$K$31-EFEITO!$M$31*EFEITO!$Z$31</f>
        <v>0</v>
      </c>
      <c r="O31" s="75">
        <f>$L$31-EFEITO!$O$31*EFEITO!$AA$31</f>
        <v>0</v>
      </c>
      <c r="P31" s="57"/>
      <c r="Q31" s="57"/>
      <c r="R31" s="57"/>
      <c r="S31" s="57"/>
      <c r="T31" s="57"/>
      <c r="U31" s="57"/>
      <c r="V31" s="57"/>
      <c r="W31" s="5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53" t="s">
        <v>21</v>
      </c>
      <c r="B32" s="53" t="s">
        <v>36</v>
      </c>
      <c r="C32" s="53" t="s">
        <v>37</v>
      </c>
      <c r="D32" s="53" t="s">
        <v>35</v>
      </c>
      <c r="E32" s="53" t="s">
        <v>25</v>
      </c>
      <c r="F32" s="53" t="s">
        <v>25</v>
      </c>
      <c r="G32" s="53" t="s">
        <v>25</v>
      </c>
      <c r="H32" s="53" t="s">
        <v>38</v>
      </c>
      <c r="I32" s="74">
        <v>44470</v>
      </c>
      <c r="J32" s="75">
        <f>EFEITO!$J$32*EFEITO!$Y$32</f>
        <v>0</v>
      </c>
      <c r="K32" s="75">
        <f ca="1">EFEITO!$L$32*EFEITO!$Z$32</f>
        <v>53282.411420925142</v>
      </c>
      <c r="L32" s="75">
        <f>EFEITO!$N$32*EFEITO!$AA$32</f>
        <v>2479.2267924411985</v>
      </c>
      <c r="M32" s="75">
        <f>$J$32-EFEITO!$K$32*EFEITO!$Y$32</f>
        <v>0</v>
      </c>
      <c r="N32" s="75">
        <f ca="1">$K$32-EFEITO!$M$32*EFEITO!$Z$32</f>
        <v>0</v>
      </c>
      <c r="O32" s="75">
        <f>$L$32-EFEITO!$O$32*EFEITO!$AA$32</f>
        <v>0</v>
      </c>
      <c r="P32" s="57"/>
      <c r="Q32" s="57"/>
      <c r="R32" s="57"/>
      <c r="S32" s="57"/>
      <c r="T32" s="57"/>
      <c r="U32" s="57"/>
      <c r="V32" s="57"/>
      <c r="W32" s="57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53" t="s">
        <v>21</v>
      </c>
      <c r="B33" s="53" t="s">
        <v>36</v>
      </c>
      <c r="C33" s="53" t="s">
        <v>37</v>
      </c>
      <c r="D33" s="53" t="s">
        <v>35</v>
      </c>
      <c r="E33" s="53" t="s">
        <v>25</v>
      </c>
      <c r="F33" s="53" t="s">
        <v>25</v>
      </c>
      <c r="G33" s="53" t="s">
        <v>25</v>
      </c>
      <c r="H33" s="53" t="s">
        <v>38</v>
      </c>
      <c r="I33" s="74">
        <v>44501</v>
      </c>
      <c r="J33" s="75">
        <f>EFEITO!$J$33*EFEITO!$Y$33</f>
        <v>0</v>
      </c>
      <c r="K33" s="75">
        <f ca="1">EFEITO!$L$33*EFEITO!$Z$33</f>
        <v>60838.032056843214</v>
      </c>
      <c r="L33" s="75">
        <f>EFEITO!$N$33*EFEITO!$AA$33</f>
        <v>2830.7892802217948</v>
      </c>
      <c r="M33" s="75">
        <f>$J$33-EFEITO!$K$33*EFEITO!$Y$33</f>
        <v>0</v>
      </c>
      <c r="N33" s="75">
        <f ca="1">$K$33-EFEITO!$M$33*EFEITO!$Z$33</f>
        <v>0</v>
      </c>
      <c r="O33" s="75">
        <f>$L$33-EFEITO!$O$33*EFEITO!$AA$33</f>
        <v>0</v>
      </c>
      <c r="P33" s="57"/>
      <c r="Q33" s="57"/>
      <c r="R33" s="57"/>
      <c r="S33" s="57"/>
      <c r="T33" s="57"/>
      <c r="U33" s="57"/>
      <c r="V33" s="57"/>
      <c r="W33" s="57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53" t="s">
        <v>21</v>
      </c>
      <c r="B34" s="53" t="s">
        <v>36</v>
      </c>
      <c r="C34" s="53" t="s">
        <v>37</v>
      </c>
      <c r="D34" s="53" t="s">
        <v>35</v>
      </c>
      <c r="E34" s="53" t="s">
        <v>25</v>
      </c>
      <c r="F34" s="53" t="s">
        <v>25</v>
      </c>
      <c r="G34" s="53" t="s">
        <v>25</v>
      </c>
      <c r="H34" s="53" t="s">
        <v>38</v>
      </c>
      <c r="I34" s="74">
        <v>44531</v>
      </c>
      <c r="J34" s="75">
        <f>EFEITO!$J$34*EFEITO!$Y$34</f>
        <v>0</v>
      </c>
      <c r="K34" s="75">
        <f ca="1">EFEITO!$L$34*EFEITO!$Z$34</f>
        <v>73814.09472893372</v>
      </c>
      <c r="L34" s="75">
        <f>EFEITO!$N$34*EFEITO!$AA$34</f>
        <v>3434.5645482534669</v>
      </c>
      <c r="M34" s="75">
        <f>$J$34-EFEITO!$K$34*EFEITO!$Y$34</f>
        <v>0</v>
      </c>
      <c r="N34" s="75">
        <f ca="1">$K$34-EFEITO!$M$34*EFEITO!$Z$34</f>
        <v>0</v>
      </c>
      <c r="O34" s="75">
        <f>$L$34-EFEITO!$O$34*EFEITO!$AA$34</f>
        <v>0</v>
      </c>
      <c r="P34" s="57"/>
      <c r="Q34" s="57"/>
      <c r="R34" s="57"/>
      <c r="S34" s="57"/>
      <c r="T34" s="57"/>
      <c r="U34" s="57"/>
      <c r="V34" s="57"/>
      <c r="W34" s="57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53" t="s">
        <v>21</v>
      </c>
      <c r="B35" s="53" t="s">
        <v>36</v>
      </c>
      <c r="C35" s="53" t="s">
        <v>37</v>
      </c>
      <c r="D35" s="53" t="s">
        <v>35</v>
      </c>
      <c r="E35" s="53" t="s">
        <v>25</v>
      </c>
      <c r="F35" s="53" t="s">
        <v>25</v>
      </c>
      <c r="G35" s="53" t="s">
        <v>25</v>
      </c>
      <c r="H35" s="53" t="s">
        <v>38</v>
      </c>
      <c r="I35" s="74">
        <v>44562</v>
      </c>
      <c r="J35" s="75">
        <f>EFEITO!$J$35*EFEITO!$Y$35</f>
        <v>0</v>
      </c>
      <c r="K35" s="75">
        <f ca="1">EFEITO!$L$35*EFEITO!$Z$35</f>
        <v>71863.317917347929</v>
      </c>
      <c r="L35" s="75">
        <f>EFEITO!$N$35*EFEITO!$AA$35</f>
        <v>3343.7950427378601</v>
      </c>
      <c r="M35" s="75">
        <f>$J$35-EFEITO!$K$35*EFEITO!$Y$35</f>
        <v>0</v>
      </c>
      <c r="N35" s="75">
        <f ca="1">$K$35-EFEITO!$M$35*EFEITO!$Z$35</f>
        <v>0</v>
      </c>
      <c r="O35" s="75">
        <f>$L$35-EFEITO!$O$35*EFEITO!$AA$35</f>
        <v>0</v>
      </c>
      <c r="P35" s="57"/>
      <c r="Q35" s="57"/>
      <c r="R35" s="57"/>
      <c r="S35" s="57"/>
      <c r="T35" s="57"/>
      <c r="U35" s="57"/>
      <c r="V35" s="57"/>
      <c r="W35" s="57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53" t="s">
        <v>21</v>
      </c>
      <c r="B36" s="53" t="s">
        <v>36</v>
      </c>
      <c r="C36" s="53" t="s">
        <v>37</v>
      </c>
      <c r="D36" s="53" t="s">
        <v>35</v>
      </c>
      <c r="E36" s="53" t="s">
        <v>25</v>
      </c>
      <c r="F36" s="53" t="s">
        <v>25</v>
      </c>
      <c r="G36" s="53" t="s">
        <v>25</v>
      </c>
      <c r="H36" s="53" t="s">
        <v>38</v>
      </c>
      <c r="I36" s="74">
        <v>44593</v>
      </c>
      <c r="J36" s="75">
        <f>EFEITO!$J$36*EFEITO!$Y$36</f>
        <v>0</v>
      </c>
      <c r="K36" s="75">
        <f ca="1">EFEITO!$L$36*EFEITO!$Z$36</f>
        <v>53374.612315005063</v>
      </c>
      <c r="L36" s="75">
        <f>EFEITO!$N$36*EFEITO!$AA$36</f>
        <v>2483.5168934481549</v>
      </c>
      <c r="M36" s="75">
        <f>$J$36-EFEITO!$K$36*EFEITO!$Y$36</f>
        <v>0</v>
      </c>
      <c r="N36" s="75">
        <f ca="1">$K$36-EFEITO!$M$36*EFEITO!$Z$36</f>
        <v>0</v>
      </c>
      <c r="O36" s="75">
        <f>$L$36-EFEITO!$O$36*EFEITO!$AA$36</f>
        <v>0</v>
      </c>
      <c r="P36" s="57"/>
      <c r="Q36" s="57"/>
      <c r="R36" s="57"/>
      <c r="S36" s="57"/>
      <c r="T36" s="57"/>
      <c r="U36" s="57"/>
      <c r="V36" s="57"/>
      <c r="W36" s="57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53" t="s">
        <v>21</v>
      </c>
      <c r="B37" s="53" t="s">
        <v>36</v>
      </c>
      <c r="C37" s="53" t="s">
        <v>37</v>
      </c>
      <c r="D37" s="53" t="s">
        <v>35</v>
      </c>
      <c r="E37" s="53" t="s">
        <v>25</v>
      </c>
      <c r="F37" s="53" t="s">
        <v>25</v>
      </c>
      <c r="G37" s="53" t="s">
        <v>25</v>
      </c>
      <c r="H37" s="53" t="s">
        <v>38</v>
      </c>
      <c r="I37" s="74">
        <v>44621</v>
      </c>
      <c r="J37" s="75">
        <f>EFEITO!$J$37*EFEITO!$Y$37</f>
        <v>0</v>
      </c>
      <c r="K37" s="75">
        <f ca="1">EFEITO!$L$37*EFEITO!$Z$37</f>
        <v>70286.197360717648</v>
      </c>
      <c r="L37" s="75">
        <f>EFEITO!$N$37*EFEITO!$AA$37</f>
        <v>3270.4117360399196</v>
      </c>
      <c r="M37" s="75">
        <f>$J$37-EFEITO!$K$37*EFEITO!$Y$37</f>
        <v>0</v>
      </c>
      <c r="N37" s="75">
        <f ca="1">$K$37-EFEITO!$M$37*EFEITO!$Z$37</f>
        <v>0</v>
      </c>
      <c r="O37" s="75">
        <f>$L$37-EFEITO!$O$37*EFEITO!$AA$37</f>
        <v>0</v>
      </c>
      <c r="P37" s="57"/>
      <c r="Q37" s="57"/>
      <c r="R37" s="57"/>
      <c r="S37" s="57"/>
      <c r="T37" s="57"/>
      <c r="U37" s="57"/>
      <c r="V37" s="57"/>
      <c r="W37" s="57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53" t="s">
        <v>21</v>
      </c>
      <c r="B38" s="53" t="s">
        <v>36</v>
      </c>
      <c r="C38" s="53" t="s">
        <v>37</v>
      </c>
      <c r="D38" s="53" t="s">
        <v>34</v>
      </c>
      <c r="E38" s="53" t="s">
        <v>25</v>
      </c>
      <c r="F38" s="53" t="s">
        <v>25</v>
      </c>
      <c r="G38" s="53" t="s">
        <v>25</v>
      </c>
      <c r="H38" s="53" t="s">
        <v>39</v>
      </c>
      <c r="I38" s="74">
        <v>44531</v>
      </c>
      <c r="J38" s="75">
        <f>EFEITO!$J$38*EFEITO!$Y$38</f>
        <v>0</v>
      </c>
      <c r="K38" s="75">
        <f ca="1">EFEITO!$L$38*EFEITO!$Z$38</f>
        <v>3549.0250531421179</v>
      </c>
      <c r="L38" s="75">
        <f>EFEITO!$N$38*EFEITO!$AA$38</f>
        <v>5910.404418847068</v>
      </c>
      <c r="M38" s="75">
        <f>$J$38-EFEITO!$K$38*EFEITO!$Y$38</f>
        <v>0</v>
      </c>
      <c r="N38" s="75">
        <f ca="1">$K$38-EFEITO!$M$38*EFEITO!$Z$38</f>
        <v>0</v>
      </c>
      <c r="O38" s="75">
        <f>$L$38-EFEITO!$O$38*EFEITO!$AA$38</f>
        <v>0</v>
      </c>
      <c r="P38" s="57"/>
      <c r="Q38" s="57"/>
      <c r="R38" s="57"/>
      <c r="S38" s="57"/>
      <c r="T38" s="57"/>
      <c r="U38" s="57"/>
      <c r="V38" s="57"/>
      <c r="W38" s="57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53" t="s">
        <v>21</v>
      </c>
      <c r="B39" s="53" t="s">
        <v>36</v>
      </c>
      <c r="C39" s="53" t="s">
        <v>37</v>
      </c>
      <c r="D39" s="53" t="s">
        <v>34</v>
      </c>
      <c r="E39" s="53" t="s">
        <v>25</v>
      </c>
      <c r="F39" s="53" t="s">
        <v>25</v>
      </c>
      <c r="G39" s="53" t="s">
        <v>25</v>
      </c>
      <c r="H39" s="53" t="s">
        <v>39</v>
      </c>
      <c r="I39" s="74">
        <v>44562</v>
      </c>
      <c r="J39" s="75">
        <f>EFEITO!$J$39*EFEITO!$Y$39</f>
        <v>0</v>
      </c>
      <c r="K39" s="75">
        <f ca="1">EFEITO!$L$39*EFEITO!$Z$39</f>
        <v>3514.180178499028</v>
      </c>
      <c r="L39" s="75">
        <f>EFEITO!$N$39*EFEITO!$AA$39</f>
        <v>5852.3751578582351</v>
      </c>
      <c r="M39" s="75">
        <f>$J$39-EFEITO!$K$39*EFEITO!$Y$39</f>
        <v>0</v>
      </c>
      <c r="N39" s="75">
        <f ca="1">$K$39-EFEITO!$M$39*EFEITO!$Z$39</f>
        <v>0</v>
      </c>
      <c r="O39" s="75">
        <f>$L$39-EFEITO!$O$39*EFEITO!$AA$39</f>
        <v>0</v>
      </c>
      <c r="P39" s="57"/>
      <c r="Q39" s="57"/>
      <c r="R39" s="57"/>
      <c r="S39" s="57"/>
      <c r="T39" s="57"/>
      <c r="U39" s="57"/>
      <c r="V39" s="57"/>
      <c r="W39" s="57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53" t="s">
        <v>21</v>
      </c>
      <c r="B40" s="53" t="s">
        <v>36</v>
      </c>
      <c r="C40" s="53" t="s">
        <v>37</v>
      </c>
      <c r="D40" s="53" t="s">
        <v>34</v>
      </c>
      <c r="E40" s="53" t="s">
        <v>25</v>
      </c>
      <c r="F40" s="53" t="s">
        <v>25</v>
      </c>
      <c r="G40" s="53" t="s">
        <v>25</v>
      </c>
      <c r="H40" s="53" t="s">
        <v>39</v>
      </c>
      <c r="I40" s="74">
        <v>44593</v>
      </c>
      <c r="J40" s="75">
        <f>EFEITO!$J$40*EFEITO!$Y$40</f>
        <v>0</v>
      </c>
      <c r="K40" s="75">
        <f ca="1">EFEITO!$L$40*EFEITO!$Z$40</f>
        <v>3284.7734551678673</v>
      </c>
      <c r="L40" s="75">
        <f>EFEITO!$N$40*EFEITO!$AA$40</f>
        <v>5470.3303734492638</v>
      </c>
      <c r="M40" s="75">
        <f>$J$40-EFEITO!$K$40*EFEITO!$Y$40</f>
        <v>0</v>
      </c>
      <c r="N40" s="75">
        <f ca="1">$K$40-EFEITO!$M$40*EFEITO!$Z$40</f>
        <v>0</v>
      </c>
      <c r="O40" s="75">
        <f>$L$40-EFEITO!$O$40*EFEITO!$AA$40</f>
        <v>0</v>
      </c>
      <c r="P40" s="57"/>
      <c r="Q40" s="57"/>
      <c r="R40" s="57"/>
      <c r="S40" s="57"/>
      <c r="T40" s="57"/>
      <c r="U40" s="57"/>
      <c r="V40" s="57"/>
      <c r="W40" s="57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53" t="s">
        <v>21</v>
      </c>
      <c r="B41" s="53" t="s">
        <v>36</v>
      </c>
      <c r="C41" s="53" t="s">
        <v>37</v>
      </c>
      <c r="D41" s="53" t="s">
        <v>34</v>
      </c>
      <c r="E41" s="53" t="s">
        <v>25</v>
      </c>
      <c r="F41" s="53" t="s">
        <v>25</v>
      </c>
      <c r="G41" s="53" t="s">
        <v>25</v>
      </c>
      <c r="H41" s="53" t="s">
        <v>39</v>
      </c>
      <c r="I41" s="74">
        <v>44621</v>
      </c>
      <c r="J41" s="75">
        <f>EFEITO!$J$41*EFEITO!$Y$41</f>
        <v>0</v>
      </c>
      <c r="K41" s="75">
        <f ca="1">EFEITO!$L$41*EFEITO!$Z$41</f>
        <v>3673.8971525440088</v>
      </c>
      <c r="L41" s="75">
        <f>EFEITO!$N$41*EFEITO!$AA$41</f>
        <v>6118.3614202895405</v>
      </c>
      <c r="M41" s="75">
        <f>$J$41-EFEITO!$K$41*EFEITO!$Y$41</f>
        <v>0</v>
      </c>
      <c r="N41" s="75">
        <f ca="1">$K$41-EFEITO!$M$41*EFEITO!$Z$41</f>
        <v>0</v>
      </c>
      <c r="O41" s="75">
        <f>$L$41-EFEITO!$O$41*EFEITO!$AA$41</f>
        <v>0</v>
      </c>
      <c r="P41" s="57"/>
      <c r="Q41" s="57"/>
      <c r="R41" s="57"/>
      <c r="S41" s="57"/>
      <c r="T41" s="57"/>
      <c r="U41" s="57"/>
      <c r="V41" s="57"/>
      <c r="W41" s="57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53" t="s">
        <v>21</v>
      </c>
      <c r="B42" s="53" t="s">
        <v>36</v>
      </c>
      <c r="C42" s="53" t="s">
        <v>37</v>
      </c>
      <c r="D42" s="53" t="s">
        <v>34</v>
      </c>
      <c r="E42" s="53" t="s">
        <v>25</v>
      </c>
      <c r="F42" s="53" t="s">
        <v>25</v>
      </c>
      <c r="G42" s="53" t="s">
        <v>25</v>
      </c>
      <c r="H42" s="53" t="s">
        <v>25</v>
      </c>
      <c r="I42" s="74">
        <v>44531</v>
      </c>
      <c r="J42" s="75">
        <f ca="1">EFEITO!$J$42*EFEITO!$Y$42</f>
        <v>8607.0380218768641</v>
      </c>
      <c r="K42" s="75">
        <f>EFEITO!$L$42*EFEITO!$Z$42</f>
        <v>0</v>
      </c>
      <c r="L42" s="75">
        <f>EFEITO!$N$42*EFEITO!$AA$42</f>
        <v>0</v>
      </c>
      <c r="M42" s="75">
        <f ca="1">$J$42-EFEITO!$K$42*EFEITO!$Y$42</f>
        <v>0</v>
      </c>
      <c r="N42" s="75">
        <f>$K$42-EFEITO!$M$42*EFEITO!$Z$42</f>
        <v>0</v>
      </c>
      <c r="O42" s="75">
        <f>$L$42-EFEITO!$O$42*EFEITO!$AA$42</f>
        <v>0</v>
      </c>
      <c r="P42" s="57"/>
      <c r="Q42" s="57"/>
      <c r="R42" s="57"/>
      <c r="S42" s="57"/>
      <c r="T42" s="57"/>
      <c r="U42" s="57"/>
      <c r="V42" s="57"/>
      <c r="W42" s="57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53" t="s">
        <v>21</v>
      </c>
      <c r="B43" s="53" t="s">
        <v>36</v>
      </c>
      <c r="C43" s="53" t="s">
        <v>37</v>
      </c>
      <c r="D43" s="53" t="s">
        <v>34</v>
      </c>
      <c r="E43" s="53" t="s">
        <v>25</v>
      </c>
      <c r="F43" s="53" t="s">
        <v>25</v>
      </c>
      <c r="G43" s="53" t="s">
        <v>25</v>
      </c>
      <c r="H43" s="53" t="s">
        <v>25</v>
      </c>
      <c r="I43" s="74">
        <v>44562</v>
      </c>
      <c r="J43" s="75">
        <f ca="1">EFEITO!$J$43*EFEITO!$Y$43</f>
        <v>8607.0380218768641</v>
      </c>
      <c r="K43" s="75">
        <f>EFEITO!$L$43*EFEITO!$Z$43</f>
        <v>0</v>
      </c>
      <c r="L43" s="75">
        <f>EFEITO!$N$43*EFEITO!$AA$43</f>
        <v>0</v>
      </c>
      <c r="M43" s="75">
        <f ca="1">$J$43-EFEITO!$K$43*EFEITO!$Y$43</f>
        <v>0</v>
      </c>
      <c r="N43" s="75">
        <f>$K$43-EFEITO!$M$43*EFEITO!$Z$43</f>
        <v>0</v>
      </c>
      <c r="O43" s="75">
        <f>$L$43-EFEITO!$O$43*EFEITO!$AA$43</f>
        <v>0</v>
      </c>
      <c r="P43" s="57"/>
      <c r="Q43" s="57"/>
      <c r="R43" s="57"/>
      <c r="S43" s="57"/>
      <c r="T43" s="57"/>
      <c r="U43" s="57"/>
      <c r="V43" s="57"/>
      <c r="W43" s="57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53" t="s">
        <v>21</v>
      </c>
      <c r="B44" s="53" t="s">
        <v>36</v>
      </c>
      <c r="C44" s="53" t="s">
        <v>37</v>
      </c>
      <c r="D44" s="53" t="s">
        <v>34</v>
      </c>
      <c r="E44" s="53" t="s">
        <v>25</v>
      </c>
      <c r="F44" s="53" t="s">
        <v>25</v>
      </c>
      <c r="G44" s="53" t="s">
        <v>25</v>
      </c>
      <c r="H44" s="53" t="s">
        <v>25</v>
      </c>
      <c r="I44" s="74">
        <v>44593</v>
      </c>
      <c r="J44" s="75">
        <f ca="1">EFEITO!$J$44*EFEITO!$Y$44</f>
        <v>8607.0380218768641</v>
      </c>
      <c r="K44" s="75">
        <f>EFEITO!$L$44*EFEITO!$Z$44</f>
        <v>0</v>
      </c>
      <c r="L44" s="75">
        <f>EFEITO!$N$44*EFEITO!$AA$44</f>
        <v>0</v>
      </c>
      <c r="M44" s="75">
        <f ca="1">$J$44-EFEITO!$K$44*EFEITO!$Y$44</f>
        <v>0</v>
      </c>
      <c r="N44" s="75">
        <f>$K$44-EFEITO!$M$44*EFEITO!$Z$44</f>
        <v>0</v>
      </c>
      <c r="O44" s="75">
        <f>$L$44-EFEITO!$O$44*EFEITO!$AA$44</f>
        <v>0</v>
      </c>
      <c r="P44" s="57"/>
      <c r="Q44" s="57"/>
      <c r="R44" s="57"/>
      <c r="S44" s="57"/>
      <c r="T44" s="57"/>
      <c r="U44" s="57"/>
      <c r="V44" s="57"/>
      <c r="W44" s="57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53" t="s">
        <v>21</v>
      </c>
      <c r="B45" s="53" t="s">
        <v>36</v>
      </c>
      <c r="C45" s="53" t="s">
        <v>37</v>
      </c>
      <c r="D45" s="53" t="s">
        <v>34</v>
      </c>
      <c r="E45" s="53" t="s">
        <v>25</v>
      </c>
      <c r="F45" s="53" t="s">
        <v>25</v>
      </c>
      <c r="G45" s="53" t="s">
        <v>25</v>
      </c>
      <c r="H45" s="53" t="s">
        <v>25</v>
      </c>
      <c r="I45" s="74">
        <v>44621</v>
      </c>
      <c r="J45" s="75">
        <f ca="1">EFEITO!$J$45*EFEITO!$Y$45</f>
        <v>8607.0380218768641</v>
      </c>
      <c r="K45" s="75">
        <f>EFEITO!$L$45*EFEITO!$Z$45</f>
        <v>0</v>
      </c>
      <c r="L45" s="75">
        <f>EFEITO!$N$45*EFEITO!$AA$45</f>
        <v>0</v>
      </c>
      <c r="M45" s="75">
        <f ca="1">$J$45-EFEITO!$K$45*EFEITO!$Y$45</f>
        <v>0</v>
      </c>
      <c r="N45" s="75">
        <f>$K$45-EFEITO!$M$45*EFEITO!$Z$45</f>
        <v>0</v>
      </c>
      <c r="O45" s="75">
        <f>$L$45-EFEITO!$O$45*EFEITO!$AA$45</f>
        <v>0</v>
      </c>
      <c r="P45" s="57"/>
      <c r="Q45" s="57"/>
      <c r="R45" s="57"/>
      <c r="S45" s="57"/>
      <c r="T45" s="57"/>
      <c r="U45" s="57"/>
      <c r="V45" s="57"/>
      <c r="W45" s="5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53" t="s">
        <v>21</v>
      </c>
      <c r="B46" s="53" t="s">
        <v>36</v>
      </c>
      <c r="C46" s="53" t="s">
        <v>37</v>
      </c>
      <c r="D46" s="53" t="s">
        <v>34</v>
      </c>
      <c r="E46" s="53" t="s">
        <v>25</v>
      </c>
      <c r="F46" s="53" t="s">
        <v>25</v>
      </c>
      <c r="G46" s="53" t="s">
        <v>25</v>
      </c>
      <c r="H46" s="53" t="s">
        <v>38</v>
      </c>
      <c r="I46" s="74">
        <v>44531</v>
      </c>
      <c r="J46" s="75">
        <f>EFEITO!$J$46*EFEITO!$Y$46</f>
        <v>0</v>
      </c>
      <c r="K46" s="75">
        <f ca="1">EFEITO!$L$46*EFEITO!$Z$46</f>
        <v>1552.8571634513701</v>
      </c>
      <c r="L46" s="75">
        <f>EFEITO!$N$46*EFEITO!$AA$46</f>
        <v>72.25433274874166</v>
      </c>
      <c r="M46" s="75">
        <f>$J$46-EFEITO!$K$46*EFEITO!$Y$46</f>
        <v>0</v>
      </c>
      <c r="N46" s="75">
        <f ca="1">$K$46-EFEITO!$M$46*EFEITO!$Z$46</f>
        <v>0</v>
      </c>
      <c r="O46" s="75">
        <f>$L$46-EFEITO!$O$46*EFEITO!$AA$46</f>
        <v>0</v>
      </c>
      <c r="P46" s="57"/>
      <c r="Q46" s="57"/>
      <c r="R46" s="57"/>
      <c r="S46" s="57"/>
      <c r="T46" s="57"/>
      <c r="U46" s="57"/>
      <c r="V46" s="57"/>
      <c r="W46" s="5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53" t="s">
        <v>21</v>
      </c>
      <c r="B47" s="53" t="s">
        <v>36</v>
      </c>
      <c r="C47" s="53" t="s">
        <v>37</v>
      </c>
      <c r="D47" s="53" t="s">
        <v>34</v>
      </c>
      <c r="E47" s="53" t="s">
        <v>25</v>
      </c>
      <c r="F47" s="53" t="s">
        <v>25</v>
      </c>
      <c r="G47" s="53" t="s">
        <v>25</v>
      </c>
      <c r="H47" s="53" t="s">
        <v>38</v>
      </c>
      <c r="I47" s="74">
        <v>44562</v>
      </c>
      <c r="J47" s="75">
        <f>EFEITO!$J$47*EFEITO!$Y$47</f>
        <v>0</v>
      </c>
      <c r="K47" s="75">
        <f ca="1">EFEITO!$L$47*EFEITO!$Z$47</f>
        <v>1489.7723411861582</v>
      </c>
      <c r="L47" s="75">
        <f>EFEITO!$N$47*EFEITO!$AA$47</f>
        <v>69.31900048082403</v>
      </c>
      <c r="M47" s="75">
        <f>$J$47-EFEITO!$K$47*EFEITO!$Y$47</f>
        <v>0</v>
      </c>
      <c r="N47" s="75">
        <f ca="1">$K$47-EFEITO!$M$47*EFEITO!$Z$47</f>
        <v>0</v>
      </c>
      <c r="O47" s="75">
        <f>$L$47-EFEITO!$O$47*EFEITO!$AA$47</f>
        <v>0</v>
      </c>
      <c r="P47" s="57"/>
      <c r="Q47" s="57"/>
      <c r="R47" s="57"/>
      <c r="S47" s="57"/>
      <c r="T47" s="57"/>
      <c r="U47" s="57"/>
      <c r="V47" s="57"/>
      <c r="W47" s="57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53" t="s">
        <v>21</v>
      </c>
      <c r="B48" s="53" t="s">
        <v>36</v>
      </c>
      <c r="C48" s="53" t="s">
        <v>37</v>
      </c>
      <c r="D48" s="53" t="s">
        <v>34</v>
      </c>
      <c r="E48" s="53" t="s">
        <v>25</v>
      </c>
      <c r="F48" s="53" t="s">
        <v>25</v>
      </c>
      <c r="G48" s="53" t="s">
        <v>25</v>
      </c>
      <c r="H48" s="53" t="s">
        <v>38</v>
      </c>
      <c r="I48" s="74">
        <v>44593</v>
      </c>
      <c r="J48" s="75">
        <f>EFEITO!$J$48*EFEITO!$Y$48</f>
        <v>0</v>
      </c>
      <c r="K48" s="75">
        <f ca="1">EFEITO!$L$48*EFEITO!$Z$48</f>
        <v>1290.8125171189515</v>
      </c>
      <c r="L48" s="75">
        <f>EFEITO!$N$48*EFEITO!$AA$48</f>
        <v>60.061414097391513</v>
      </c>
      <c r="M48" s="75">
        <f>$J$48-EFEITO!$K$48*EFEITO!$Y$48</f>
        <v>0</v>
      </c>
      <c r="N48" s="75">
        <f ca="1">$K$48-EFEITO!$M$48*EFEITO!$Z$48</f>
        <v>0</v>
      </c>
      <c r="O48" s="75">
        <f>$L$48-EFEITO!$O$48*EFEITO!$AA$48</f>
        <v>0</v>
      </c>
      <c r="P48" s="57"/>
      <c r="Q48" s="57"/>
      <c r="R48" s="57"/>
      <c r="S48" s="57"/>
      <c r="T48" s="57"/>
      <c r="U48" s="57"/>
      <c r="V48" s="57"/>
      <c r="W48" s="5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53" t="s">
        <v>21</v>
      </c>
      <c r="B49" s="53" t="s">
        <v>36</v>
      </c>
      <c r="C49" s="53" t="s">
        <v>37</v>
      </c>
      <c r="D49" s="53" t="s">
        <v>34</v>
      </c>
      <c r="E49" s="53" t="s">
        <v>25</v>
      </c>
      <c r="F49" s="53" t="s">
        <v>25</v>
      </c>
      <c r="G49" s="53" t="s">
        <v>25</v>
      </c>
      <c r="H49" s="53" t="s">
        <v>38</v>
      </c>
      <c r="I49" s="74">
        <v>44621</v>
      </c>
      <c r="J49" s="75">
        <f>EFEITO!$J$49*EFEITO!$Y$49</f>
        <v>0</v>
      </c>
      <c r="K49" s="75">
        <f ca="1">EFEITO!$L$49*EFEITO!$Z$49</f>
        <v>1504.3303770935149</v>
      </c>
      <c r="L49" s="75">
        <f>EFEITO!$N$49*EFEITO!$AA$49</f>
        <v>69.996384850343489</v>
      </c>
      <c r="M49" s="75">
        <f>$J$49-EFEITO!$K$49*EFEITO!$Y$49</f>
        <v>0</v>
      </c>
      <c r="N49" s="75">
        <f ca="1">$K$49-EFEITO!$M$49*EFEITO!$Z$49</f>
        <v>0</v>
      </c>
      <c r="O49" s="75">
        <f>$L$49-EFEITO!$O$49*EFEITO!$AA$49</f>
        <v>0</v>
      </c>
      <c r="P49" s="57"/>
      <c r="Q49" s="57"/>
      <c r="R49" s="57"/>
      <c r="S49" s="57"/>
      <c r="T49" s="57"/>
      <c r="U49" s="57"/>
      <c r="V49" s="57"/>
      <c r="W49" s="5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53" t="s">
        <v>21</v>
      </c>
      <c r="B50" s="53" t="s">
        <v>36</v>
      </c>
      <c r="C50" s="53" t="s">
        <v>37</v>
      </c>
      <c r="D50" s="53" t="s">
        <v>41</v>
      </c>
      <c r="E50" s="53" t="s">
        <v>25</v>
      </c>
      <c r="F50" s="53" t="s">
        <v>25</v>
      </c>
      <c r="G50" s="53" t="s">
        <v>25</v>
      </c>
      <c r="H50" s="53" t="s">
        <v>39</v>
      </c>
      <c r="I50" s="74">
        <v>44287</v>
      </c>
      <c r="J50" s="75">
        <f>EFEITO!$J$50*EFEITO!$Y$41</f>
        <v>0</v>
      </c>
      <c r="K50" s="75">
        <f ca="1">EFEITO!$L$50*EFEITO!$Z$41</f>
        <v>3445.3039282317532</v>
      </c>
      <c r="L50" s="75">
        <f>EFEITO!$N$50*EFEITO!$AA$41</f>
        <v>5737.6714046196075</v>
      </c>
      <c r="M50" s="75">
        <f>$J$50-EFEITO!$K$50*EFEITO!$Y$50</f>
        <v>0</v>
      </c>
      <c r="N50" s="75">
        <f ca="1">$K$50-EFEITO!$M$50*EFEITO!$Z$50</f>
        <v>68.906078564635209</v>
      </c>
      <c r="O50" s="75">
        <f>$L$50-EFEITO!$O$50*EFEITO!$AA$50</f>
        <v>114.75342809239191</v>
      </c>
      <c r="P50" s="57"/>
      <c r="Q50" s="57"/>
      <c r="R50" s="57"/>
      <c r="S50" s="57"/>
      <c r="T50" s="57"/>
      <c r="U50" s="57"/>
      <c r="V50" s="57"/>
      <c r="W50" s="5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53" t="s">
        <v>21</v>
      </c>
      <c r="B51" s="53" t="s">
        <v>36</v>
      </c>
      <c r="C51" s="53" t="s">
        <v>37</v>
      </c>
      <c r="D51" s="53" t="s">
        <v>41</v>
      </c>
      <c r="E51" s="53" t="s">
        <v>25</v>
      </c>
      <c r="F51" s="53" t="s">
        <v>25</v>
      </c>
      <c r="G51" s="53" t="s">
        <v>25</v>
      </c>
      <c r="H51" s="53" t="s">
        <v>39</v>
      </c>
      <c r="I51" s="74">
        <v>44317</v>
      </c>
      <c r="J51" s="75">
        <f>EFEITO!$J$51*EFEITO!$Y$41</f>
        <v>0</v>
      </c>
      <c r="K51" s="75">
        <f ca="1">EFEITO!$L$51*EFEITO!$Z$41</f>
        <v>2968.7290863233425</v>
      </c>
      <c r="L51" s="75">
        <f>EFEITO!$N$51*EFEITO!$AA$41</f>
        <v>4944.0027183326483</v>
      </c>
      <c r="M51" s="75">
        <f>$J$51-EFEITO!$K$51*EFEITO!$Y$51</f>
        <v>0</v>
      </c>
      <c r="N51" s="75">
        <f ca="1">$K$51-EFEITO!$M$51*EFEITO!$Z$51</f>
        <v>59.374581726466658</v>
      </c>
      <c r="O51" s="75">
        <f>$L$51-EFEITO!$O$51*EFEITO!$AA$51</f>
        <v>98.880054366652985</v>
      </c>
      <c r="P51" s="57"/>
      <c r="Q51" s="57"/>
      <c r="R51" s="57"/>
      <c r="S51" s="57"/>
      <c r="T51" s="57"/>
      <c r="U51" s="57"/>
      <c r="V51" s="57"/>
      <c r="W51" s="5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53" t="s">
        <v>21</v>
      </c>
      <c r="B52" s="53" t="s">
        <v>36</v>
      </c>
      <c r="C52" s="53" t="s">
        <v>37</v>
      </c>
      <c r="D52" s="53" t="s">
        <v>41</v>
      </c>
      <c r="E52" s="53" t="s">
        <v>25</v>
      </c>
      <c r="F52" s="53" t="s">
        <v>25</v>
      </c>
      <c r="G52" s="53" t="s">
        <v>25</v>
      </c>
      <c r="H52" s="53" t="s">
        <v>39</v>
      </c>
      <c r="I52" s="74">
        <v>44348</v>
      </c>
      <c r="J52" s="75">
        <f>EFEITO!$J$52*EFEITO!$Y$41</f>
        <v>0</v>
      </c>
      <c r="K52" s="75">
        <f ca="1">EFEITO!$L$52*EFEITO!$Z$41</f>
        <v>2812.4016915237985</v>
      </c>
      <c r="L52" s="75">
        <f>EFEITO!$N$52*EFEITO!$AA$41</f>
        <v>4683.6613256473383</v>
      </c>
      <c r="M52" s="75">
        <f>$J$52-EFEITO!$K$52*EFEITO!$Y$52</f>
        <v>0</v>
      </c>
      <c r="N52" s="75">
        <f ca="1">$K$52-EFEITO!$M$52*EFEITO!$Z$52</f>
        <v>56.248033830476288</v>
      </c>
      <c r="O52" s="75">
        <f>$L$52-EFEITO!$O$52*EFEITO!$AA$52</f>
        <v>93.673226512947622</v>
      </c>
      <c r="P52" s="57"/>
      <c r="Q52" s="57"/>
      <c r="R52" s="57"/>
      <c r="S52" s="57"/>
      <c r="T52" s="57"/>
      <c r="U52" s="57"/>
      <c r="V52" s="57"/>
      <c r="W52" s="5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53" t="s">
        <v>21</v>
      </c>
      <c r="B53" s="53" t="s">
        <v>36</v>
      </c>
      <c r="C53" s="53" t="s">
        <v>37</v>
      </c>
      <c r="D53" s="53" t="s">
        <v>41</v>
      </c>
      <c r="E53" s="53" t="s">
        <v>25</v>
      </c>
      <c r="F53" s="53" t="s">
        <v>25</v>
      </c>
      <c r="G53" s="53" t="s">
        <v>25</v>
      </c>
      <c r="H53" s="53" t="s">
        <v>39</v>
      </c>
      <c r="I53" s="74">
        <v>44378</v>
      </c>
      <c r="J53" s="75">
        <f>EFEITO!$J$53*EFEITO!$Y$41</f>
        <v>0</v>
      </c>
      <c r="K53" s="75">
        <f ca="1">EFEITO!$L$53*EFEITO!$Z$41</f>
        <v>2575.4023106828595</v>
      </c>
      <c r="L53" s="75">
        <f>EFEITO!$N$53*EFEITO!$AA$41</f>
        <v>4288.9720330073378</v>
      </c>
      <c r="M53" s="75">
        <f>$J$53-EFEITO!$K$53*EFEITO!$Y$53</f>
        <v>0</v>
      </c>
      <c r="N53" s="75">
        <f ca="1">$K$53-EFEITO!$M$53*EFEITO!$Z$53</f>
        <v>51.508046213657053</v>
      </c>
      <c r="O53" s="75">
        <f>$L$53-EFEITO!$O$53*EFEITO!$AA$53</f>
        <v>85.779440660147884</v>
      </c>
      <c r="P53" s="57"/>
      <c r="Q53" s="57"/>
      <c r="R53" s="57"/>
      <c r="S53" s="57"/>
      <c r="T53" s="57"/>
      <c r="U53" s="57"/>
      <c r="V53" s="57"/>
      <c r="W53" s="57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53" t="s">
        <v>21</v>
      </c>
      <c r="B54" s="53" t="s">
        <v>36</v>
      </c>
      <c r="C54" s="53" t="s">
        <v>37</v>
      </c>
      <c r="D54" s="53" t="s">
        <v>41</v>
      </c>
      <c r="E54" s="53" t="s">
        <v>25</v>
      </c>
      <c r="F54" s="53" t="s">
        <v>25</v>
      </c>
      <c r="G54" s="53" t="s">
        <v>25</v>
      </c>
      <c r="H54" s="53" t="s">
        <v>39</v>
      </c>
      <c r="I54" s="74">
        <v>44409</v>
      </c>
      <c r="J54" s="75">
        <f>EFEITO!$J$54*EFEITO!$Y$41</f>
        <v>0</v>
      </c>
      <c r="K54" s="75">
        <f ca="1">EFEITO!$L$54*EFEITO!$Z$41</f>
        <v>2605.7729407219731</v>
      </c>
      <c r="L54" s="75">
        <f>EFEITO!$N$54*EFEITO!$AA$41</f>
        <v>4339.5500659314566</v>
      </c>
      <c r="M54" s="75">
        <f>$J$54-EFEITO!$K$54*EFEITO!$Y$54</f>
        <v>0</v>
      </c>
      <c r="N54" s="75">
        <f ca="1">$K$54-EFEITO!$M$54*EFEITO!$Z$54</f>
        <v>52.115458814439535</v>
      </c>
      <c r="O54" s="75">
        <f>$L$54-EFEITO!$O$54*EFEITO!$AA$54</f>
        <v>86.791001318629242</v>
      </c>
      <c r="P54" s="57"/>
      <c r="Q54" s="57"/>
      <c r="R54" s="57"/>
      <c r="S54" s="57"/>
      <c r="T54" s="57"/>
      <c r="U54" s="57"/>
      <c r="V54" s="57"/>
      <c r="W54" s="5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53" t="s">
        <v>21</v>
      </c>
      <c r="B55" s="53" t="s">
        <v>36</v>
      </c>
      <c r="C55" s="53" t="s">
        <v>37</v>
      </c>
      <c r="D55" s="53" t="s">
        <v>41</v>
      </c>
      <c r="E55" s="53" t="s">
        <v>25</v>
      </c>
      <c r="F55" s="53" t="s">
        <v>25</v>
      </c>
      <c r="G55" s="53" t="s">
        <v>25</v>
      </c>
      <c r="H55" s="53" t="s">
        <v>39</v>
      </c>
      <c r="I55" s="74">
        <v>44440</v>
      </c>
      <c r="J55" s="75">
        <f>EFEITO!$J$55*EFEITO!$Y$41</f>
        <v>0</v>
      </c>
      <c r="K55" s="75">
        <f ca="1">EFEITO!$L$55*EFEITO!$Z$41</f>
        <v>2745.5591888037857</v>
      </c>
      <c r="L55" s="75">
        <f>EFEITO!$N$55*EFEITO!$AA$41</f>
        <v>4572.3444942563083</v>
      </c>
      <c r="M55" s="75">
        <f>$J$55-EFEITO!$K$55*EFEITO!$Y$55</f>
        <v>0</v>
      </c>
      <c r="N55" s="75">
        <f ca="1">$K$55-EFEITO!$M$55*EFEITO!$Z$55</f>
        <v>54.911183776076086</v>
      </c>
      <c r="O55" s="75">
        <f>$L$55-EFEITO!$O$55*EFEITO!$AA$55</f>
        <v>91.446889885126438</v>
      </c>
      <c r="P55" s="57"/>
      <c r="Q55" s="57"/>
      <c r="R55" s="57"/>
      <c r="S55" s="57"/>
      <c r="T55" s="57"/>
      <c r="U55" s="57"/>
      <c r="V55" s="57"/>
      <c r="W55" s="5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53" t="s">
        <v>21</v>
      </c>
      <c r="B56" s="53" t="s">
        <v>36</v>
      </c>
      <c r="C56" s="53" t="s">
        <v>37</v>
      </c>
      <c r="D56" s="53" t="s">
        <v>41</v>
      </c>
      <c r="E56" s="53" t="s">
        <v>25</v>
      </c>
      <c r="F56" s="53" t="s">
        <v>25</v>
      </c>
      <c r="G56" s="53" t="s">
        <v>25</v>
      </c>
      <c r="H56" s="53" t="s">
        <v>39</v>
      </c>
      <c r="I56" s="74">
        <v>44470</v>
      </c>
      <c r="J56" s="75">
        <f>EFEITO!$J$56*EFEITO!$Y$41</f>
        <v>0</v>
      </c>
      <c r="K56" s="75">
        <f ca="1">EFEITO!$L$56*EFEITO!$Z$41</f>
        <v>2917.8853976417913</v>
      </c>
      <c r="L56" s="75">
        <f>EFEITO!$N$56*EFEITO!$AA$41</f>
        <v>4859.3296721427168</v>
      </c>
      <c r="M56" s="75">
        <f>$J$56-EFEITO!$K$56*EFEITO!$Y$56</f>
        <v>0</v>
      </c>
      <c r="N56" s="75">
        <f ca="1">$K$56-EFEITO!$M$56*EFEITO!$Z$56</f>
        <v>58.357707952836336</v>
      </c>
      <c r="O56" s="75">
        <f>$L$56-EFEITO!$O$56*EFEITO!$AA$56</f>
        <v>97.186593442855155</v>
      </c>
      <c r="P56" s="57"/>
      <c r="Q56" s="57"/>
      <c r="R56" s="57"/>
      <c r="S56" s="57"/>
      <c r="T56" s="57"/>
      <c r="U56" s="57"/>
      <c r="V56" s="57"/>
      <c r="W56" s="57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53" t="s">
        <v>21</v>
      </c>
      <c r="B57" s="53" t="s">
        <v>36</v>
      </c>
      <c r="C57" s="53" t="s">
        <v>37</v>
      </c>
      <c r="D57" s="53" t="s">
        <v>41</v>
      </c>
      <c r="E57" s="53" t="s">
        <v>25</v>
      </c>
      <c r="F57" s="53" t="s">
        <v>25</v>
      </c>
      <c r="G57" s="53" t="s">
        <v>25</v>
      </c>
      <c r="H57" s="53" t="s">
        <v>39</v>
      </c>
      <c r="I57" s="74">
        <v>44501</v>
      </c>
      <c r="J57" s="75">
        <f>EFEITO!$J$57*EFEITO!$Y$41</f>
        <v>0</v>
      </c>
      <c r="K57" s="75">
        <f ca="1">EFEITO!$L$57*EFEITO!$Z$41</f>
        <v>3162.2062696528737</v>
      </c>
      <c r="L57" s="75">
        <f>EFEITO!$N$57*EFEITO!$AA$41</f>
        <v>5266.2118834340681</v>
      </c>
      <c r="M57" s="75">
        <f>$J$57-EFEITO!$K$57*EFEITO!$Y$57</f>
        <v>0</v>
      </c>
      <c r="N57" s="75">
        <f ca="1">$K$57-EFEITO!$M$57*EFEITO!$Z$57</f>
        <v>63.244125393057857</v>
      </c>
      <c r="O57" s="75">
        <f>$L$57-EFEITO!$O$57*EFEITO!$AA$57</f>
        <v>105.32423766868123</v>
      </c>
      <c r="P57" s="57"/>
      <c r="Q57" s="57"/>
      <c r="R57" s="57"/>
      <c r="S57" s="57"/>
      <c r="T57" s="57"/>
      <c r="U57" s="57"/>
      <c r="V57" s="57"/>
      <c r="W57" s="5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53" t="s">
        <v>21</v>
      </c>
      <c r="B58" s="53" t="s">
        <v>36</v>
      </c>
      <c r="C58" s="53" t="s">
        <v>37</v>
      </c>
      <c r="D58" s="53" t="s">
        <v>41</v>
      </c>
      <c r="E58" s="53" t="s">
        <v>25</v>
      </c>
      <c r="F58" s="53" t="s">
        <v>25</v>
      </c>
      <c r="G58" s="53" t="s">
        <v>25</v>
      </c>
      <c r="H58" s="53" t="s">
        <v>25</v>
      </c>
      <c r="I58" s="74">
        <v>44287</v>
      </c>
      <c r="J58" s="75">
        <f ca="1">EFEITO!$J$58*EFEITO!$Y$45</f>
        <v>8607.0380218768641</v>
      </c>
      <c r="K58" s="75">
        <f>EFEITO!$L$58*EFEITO!$Z$45</f>
        <v>0</v>
      </c>
      <c r="L58" s="75">
        <f>EFEITO!$N$58*EFEITO!$AA$45</f>
        <v>0</v>
      </c>
      <c r="M58" s="75">
        <f ca="1">$J$58-EFEITO!$K$58*EFEITO!$Y$58</f>
        <v>172.14076043753812</v>
      </c>
      <c r="N58" s="75">
        <f>$K$58-EFEITO!$M$58*EFEITO!$Z$58</f>
        <v>0</v>
      </c>
      <c r="O58" s="75">
        <f>$L$58-EFEITO!$O$58*EFEITO!$AA$58</f>
        <v>0</v>
      </c>
      <c r="P58" s="57"/>
      <c r="Q58" s="57"/>
      <c r="R58" s="57"/>
      <c r="S58" s="57"/>
      <c r="T58" s="57"/>
      <c r="U58" s="57"/>
      <c r="V58" s="57"/>
      <c r="W58" s="5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53" t="s">
        <v>21</v>
      </c>
      <c r="B59" s="53" t="s">
        <v>36</v>
      </c>
      <c r="C59" s="53" t="s">
        <v>37</v>
      </c>
      <c r="D59" s="53" t="s">
        <v>41</v>
      </c>
      <c r="E59" s="53" t="s">
        <v>25</v>
      </c>
      <c r="F59" s="53" t="s">
        <v>25</v>
      </c>
      <c r="G59" s="53" t="s">
        <v>25</v>
      </c>
      <c r="H59" s="53" t="s">
        <v>25</v>
      </c>
      <c r="I59" s="74">
        <v>44317</v>
      </c>
      <c r="J59" s="75">
        <f ca="1">EFEITO!$J$59*EFEITO!$Y$45</f>
        <v>8607.0380218768641</v>
      </c>
      <c r="K59" s="75">
        <f>EFEITO!$L$59*EFEITO!$Z$45</f>
        <v>0</v>
      </c>
      <c r="L59" s="75">
        <f>EFEITO!$N$59*EFEITO!$AA$45</f>
        <v>0</v>
      </c>
      <c r="M59" s="75">
        <f ca="1">$J$59-EFEITO!$K$59*EFEITO!$Y$59</f>
        <v>172.14076043753812</v>
      </c>
      <c r="N59" s="75">
        <f>$K$59-EFEITO!$M$59*EFEITO!$Z$59</f>
        <v>0</v>
      </c>
      <c r="O59" s="75">
        <f>$L$59-EFEITO!$O$59*EFEITO!$AA$59</f>
        <v>0</v>
      </c>
      <c r="P59" s="57"/>
      <c r="Q59" s="57"/>
      <c r="R59" s="57"/>
      <c r="S59" s="57"/>
      <c r="T59" s="57"/>
      <c r="U59" s="57"/>
      <c r="V59" s="57"/>
      <c r="W59" s="57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53" t="s">
        <v>21</v>
      </c>
      <c r="B60" s="53" t="s">
        <v>36</v>
      </c>
      <c r="C60" s="53" t="s">
        <v>37</v>
      </c>
      <c r="D60" s="53" t="s">
        <v>41</v>
      </c>
      <c r="E60" s="53" t="s">
        <v>25</v>
      </c>
      <c r="F60" s="53" t="s">
        <v>25</v>
      </c>
      <c r="G60" s="53" t="s">
        <v>25</v>
      </c>
      <c r="H60" s="53" t="s">
        <v>25</v>
      </c>
      <c r="I60" s="74">
        <v>44348</v>
      </c>
      <c r="J60" s="75">
        <f ca="1">EFEITO!$J$60*EFEITO!$Y$45</f>
        <v>8607.0380218768641</v>
      </c>
      <c r="K60" s="75">
        <f>EFEITO!$L$60*EFEITO!$Z$45</f>
        <v>0</v>
      </c>
      <c r="L60" s="75">
        <f>EFEITO!$N$60*EFEITO!$AA$45</f>
        <v>0</v>
      </c>
      <c r="M60" s="75">
        <f ca="1">$J$60-EFEITO!$K$60*EFEITO!$Y$60</f>
        <v>172.14076043753812</v>
      </c>
      <c r="N60" s="75">
        <f>$K$60-EFEITO!$M$60*EFEITO!$Z$60</f>
        <v>0</v>
      </c>
      <c r="O60" s="75">
        <f>$L$60-EFEITO!$O$60*EFEITO!$AA$60</f>
        <v>0</v>
      </c>
      <c r="P60" s="57"/>
      <c r="Q60" s="57"/>
      <c r="R60" s="57"/>
      <c r="S60" s="57"/>
      <c r="T60" s="57"/>
      <c r="U60" s="57"/>
      <c r="V60" s="57"/>
      <c r="W60" s="57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53" t="s">
        <v>21</v>
      </c>
      <c r="B61" s="53" t="s">
        <v>36</v>
      </c>
      <c r="C61" s="53" t="s">
        <v>37</v>
      </c>
      <c r="D61" s="53" t="s">
        <v>41</v>
      </c>
      <c r="E61" s="53" t="s">
        <v>25</v>
      </c>
      <c r="F61" s="53" t="s">
        <v>25</v>
      </c>
      <c r="G61" s="53" t="s">
        <v>25</v>
      </c>
      <c r="H61" s="53" t="s">
        <v>25</v>
      </c>
      <c r="I61" s="74">
        <v>44378</v>
      </c>
      <c r="J61" s="75">
        <f ca="1">EFEITO!$J$61*EFEITO!$Y$45</f>
        <v>8607.0380218768641</v>
      </c>
      <c r="K61" s="75">
        <f>EFEITO!$L$61*EFEITO!$Z$45</f>
        <v>0</v>
      </c>
      <c r="L61" s="75">
        <f>EFEITO!$N$61*EFEITO!$AA$45</f>
        <v>0</v>
      </c>
      <c r="M61" s="75">
        <f ca="1">$J$61-EFEITO!$K$61*EFEITO!$Y$61</f>
        <v>172.14076043753812</v>
      </c>
      <c r="N61" s="75">
        <f>$K$61-EFEITO!$M$61*EFEITO!$Z$61</f>
        <v>0</v>
      </c>
      <c r="O61" s="75">
        <f>$L$61-EFEITO!$O$61*EFEITO!$AA$61</f>
        <v>0</v>
      </c>
      <c r="P61" s="57"/>
      <c r="Q61" s="57"/>
      <c r="R61" s="57"/>
      <c r="S61" s="57"/>
      <c r="T61" s="57"/>
      <c r="U61" s="57"/>
      <c r="V61" s="57"/>
      <c r="W61" s="57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53" t="s">
        <v>21</v>
      </c>
      <c r="B62" s="53" t="s">
        <v>36</v>
      </c>
      <c r="C62" s="53" t="s">
        <v>37</v>
      </c>
      <c r="D62" s="53" t="s">
        <v>41</v>
      </c>
      <c r="E62" s="53" t="s">
        <v>25</v>
      </c>
      <c r="F62" s="53" t="s">
        <v>25</v>
      </c>
      <c r="G62" s="53" t="s">
        <v>25</v>
      </c>
      <c r="H62" s="53" t="s">
        <v>25</v>
      </c>
      <c r="I62" s="74">
        <v>44409</v>
      </c>
      <c r="J62" s="75">
        <f ca="1">EFEITO!$J$62*EFEITO!$Y$45</f>
        <v>8607.0380218768641</v>
      </c>
      <c r="K62" s="75">
        <f>EFEITO!$L$62*EFEITO!$Z$45</f>
        <v>0</v>
      </c>
      <c r="L62" s="75">
        <f>EFEITO!$N$62*EFEITO!$AA$45</f>
        <v>0</v>
      </c>
      <c r="M62" s="75">
        <f ca="1">$J$62-EFEITO!$K$62*EFEITO!$Y$62</f>
        <v>172.14076043753812</v>
      </c>
      <c r="N62" s="75">
        <f>$K$62-EFEITO!$M$62*EFEITO!$Z$62</f>
        <v>0</v>
      </c>
      <c r="O62" s="75">
        <f>$L$62-EFEITO!$O$62*EFEITO!$AA$62</f>
        <v>0</v>
      </c>
      <c r="P62" s="57"/>
      <c r="Q62" s="57"/>
      <c r="R62" s="57"/>
      <c r="S62" s="57"/>
      <c r="T62" s="57"/>
      <c r="U62" s="57"/>
      <c r="V62" s="57"/>
      <c r="W62" s="57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53" t="s">
        <v>21</v>
      </c>
      <c r="B63" s="53" t="s">
        <v>36</v>
      </c>
      <c r="C63" s="53" t="s">
        <v>37</v>
      </c>
      <c r="D63" s="53" t="s">
        <v>41</v>
      </c>
      <c r="E63" s="53" t="s">
        <v>25</v>
      </c>
      <c r="F63" s="53" t="s">
        <v>25</v>
      </c>
      <c r="G63" s="53" t="s">
        <v>25</v>
      </c>
      <c r="H63" s="53" t="s">
        <v>25</v>
      </c>
      <c r="I63" s="74">
        <v>44440</v>
      </c>
      <c r="J63" s="75">
        <f ca="1">EFEITO!$J$63*EFEITO!$Y$45</f>
        <v>8607.0380218768641</v>
      </c>
      <c r="K63" s="75">
        <f>EFEITO!$L$63*EFEITO!$Z$45</f>
        <v>0</v>
      </c>
      <c r="L63" s="75">
        <f>EFEITO!$N$63*EFEITO!$AA$45</f>
        <v>0</v>
      </c>
      <c r="M63" s="75">
        <f ca="1">$J$63-EFEITO!$K$63*EFEITO!$Y$63</f>
        <v>172.14076043753812</v>
      </c>
      <c r="N63" s="75">
        <f>$K$63-EFEITO!$M$63*EFEITO!$Z$63</f>
        <v>0</v>
      </c>
      <c r="O63" s="75">
        <f>$L$63-EFEITO!$O$63*EFEITO!$AA$63</f>
        <v>0</v>
      </c>
      <c r="P63" s="57"/>
      <c r="Q63" s="57"/>
      <c r="R63" s="57"/>
      <c r="S63" s="57"/>
      <c r="T63" s="57"/>
      <c r="U63" s="57"/>
      <c r="V63" s="57"/>
      <c r="W63" s="57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53" t="s">
        <v>21</v>
      </c>
      <c r="B64" s="53" t="s">
        <v>36</v>
      </c>
      <c r="C64" s="53" t="s">
        <v>37</v>
      </c>
      <c r="D64" s="53" t="s">
        <v>41</v>
      </c>
      <c r="E64" s="53" t="s">
        <v>25</v>
      </c>
      <c r="F64" s="53" t="s">
        <v>25</v>
      </c>
      <c r="G64" s="53" t="s">
        <v>25</v>
      </c>
      <c r="H64" s="53" t="s">
        <v>25</v>
      </c>
      <c r="I64" s="74">
        <v>44470</v>
      </c>
      <c r="J64" s="75">
        <f ca="1">EFEITO!$J$64*EFEITO!$Y$45</f>
        <v>8607.0380218768641</v>
      </c>
      <c r="K64" s="75">
        <f>EFEITO!$L$64*EFEITO!$Z$45</f>
        <v>0</v>
      </c>
      <c r="L64" s="75">
        <f>EFEITO!$N$64*EFEITO!$AA$45</f>
        <v>0</v>
      </c>
      <c r="M64" s="75">
        <f ca="1">$J$64-EFEITO!$K$64*EFEITO!$Y$64</f>
        <v>172.14076043753812</v>
      </c>
      <c r="N64" s="75">
        <f>$K$64-EFEITO!$M$64*EFEITO!$Z$64</f>
        <v>0</v>
      </c>
      <c r="O64" s="75">
        <f>$L$64-EFEITO!$O$64*EFEITO!$AA$64</f>
        <v>0</v>
      </c>
      <c r="P64" s="57"/>
      <c r="Q64" s="57"/>
      <c r="R64" s="57"/>
      <c r="S64" s="57"/>
      <c r="T64" s="57"/>
      <c r="U64" s="57"/>
      <c r="V64" s="57"/>
      <c r="W64" s="5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53" t="s">
        <v>21</v>
      </c>
      <c r="B65" s="53" t="s">
        <v>36</v>
      </c>
      <c r="C65" s="53" t="s">
        <v>37</v>
      </c>
      <c r="D65" s="53" t="s">
        <v>41</v>
      </c>
      <c r="E65" s="53" t="s">
        <v>25</v>
      </c>
      <c r="F65" s="53" t="s">
        <v>25</v>
      </c>
      <c r="G65" s="53" t="s">
        <v>25</v>
      </c>
      <c r="H65" s="53" t="s">
        <v>25</v>
      </c>
      <c r="I65" s="74">
        <v>44501</v>
      </c>
      <c r="J65" s="75">
        <f ca="1">EFEITO!$J$65*EFEITO!$Y$45</f>
        <v>8607.0380218768641</v>
      </c>
      <c r="K65" s="75">
        <f>EFEITO!$L$65*EFEITO!$Z$45</f>
        <v>0</v>
      </c>
      <c r="L65" s="75">
        <f>EFEITO!$N$65*EFEITO!$AA$45</f>
        <v>0</v>
      </c>
      <c r="M65" s="75">
        <f ca="1">$J$65-EFEITO!$K$65*EFEITO!$Y$65</f>
        <v>172.14076043753812</v>
      </c>
      <c r="N65" s="75">
        <f>$K$65-EFEITO!$M$65*EFEITO!$Z$65</f>
        <v>0</v>
      </c>
      <c r="O65" s="75">
        <f>$L$65-EFEITO!$O$65*EFEITO!$AA$65</f>
        <v>0</v>
      </c>
      <c r="P65" s="57"/>
      <c r="Q65" s="57"/>
      <c r="R65" s="57"/>
      <c r="S65" s="57"/>
      <c r="T65" s="57"/>
      <c r="U65" s="57"/>
      <c r="V65" s="57"/>
      <c r="W65" s="57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53" t="s">
        <v>21</v>
      </c>
      <c r="B66" s="53" t="s">
        <v>36</v>
      </c>
      <c r="C66" s="53" t="s">
        <v>37</v>
      </c>
      <c r="D66" s="53" t="s">
        <v>41</v>
      </c>
      <c r="E66" s="53" t="s">
        <v>25</v>
      </c>
      <c r="F66" s="53" t="s">
        <v>25</v>
      </c>
      <c r="G66" s="53" t="s">
        <v>25</v>
      </c>
      <c r="H66" s="53" t="s">
        <v>38</v>
      </c>
      <c r="I66" s="74">
        <v>44287</v>
      </c>
      <c r="J66" s="75">
        <f>EFEITO!$J$66*EFEITO!$Y$49</f>
        <v>0</v>
      </c>
      <c r="K66" s="75">
        <f ca="1">EFEITO!$L$66*EFEITO!$Z$49</f>
        <v>1834.312524326931</v>
      </c>
      <c r="L66" s="75">
        <f>EFEITO!$N$66*EFEITO!$AA$49</f>
        <v>85.350430559451084</v>
      </c>
      <c r="M66" s="75">
        <f>$J$66-EFEITO!$K$66*EFEITO!$Y$66</f>
        <v>0</v>
      </c>
      <c r="N66" s="75">
        <f ca="1">$K$66-EFEITO!$M$66*EFEITO!$Z$66</f>
        <v>36.686250486538484</v>
      </c>
      <c r="O66" s="75">
        <f>$L$66-EFEITO!$O$66*EFEITO!$AA$66</f>
        <v>1.7070086111890248</v>
      </c>
      <c r="P66" s="57"/>
      <c r="Q66" s="57"/>
      <c r="R66" s="57"/>
      <c r="S66" s="57"/>
      <c r="T66" s="57"/>
      <c r="U66" s="57"/>
      <c r="V66" s="57"/>
      <c r="W66" s="57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53" t="s">
        <v>21</v>
      </c>
      <c r="B67" s="53" t="s">
        <v>36</v>
      </c>
      <c r="C67" s="53" t="s">
        <v>37</v>
      </c>
      <c r="D67" s="53" t="s">
        <v>41</v>
      </c>
      <c r="E67" s="53" t="s">
        <v>25</v>
      </c>
      <c r="F67" s="53" t="s">
        <v>25</v>
      </c>
      <c r="G67" s="53" t="s">
        <v>25</v>
      </c>
      <c r="H67" s="53" t="s">
        <v>38</v>
      </c>
      <c r="I67" s="74">
        <v>44317</v>
      </c>
      <c r="J67" s="75">
        <f>EFEITO!$J$67*EFEITO!$Y$49</f>
        <v>0</v>
      </c>
      <c r="K67" s="75">
        <f ca="1">EFEITO!$L$67*EFEITO!$Z$49</f>
        <v>1887.6919893205718</v>
      </c>
      <c r="L67" s="75">
        <f>EFEITO!$N$67*EFEITO!$AA$49</f>
        <v>87.83417324768908</v>
      </c>
      <c r="M67" s="75">
        <f>$J$67-EFEITO!$K$67*EFEITO!$Y$67</f>
        <v>0</v>
      </c>
      <c r="N67" s="75">
        <f ca="1">$K$67-EFEITO!$M$67*EFEITO!$Z$67</f>
        <v>37.753839786411163</v>
      </c>
      <c r="O67" s="75">
        <f>$L$67-EFEITO!$O$67*EFEITO!$AA$67</f>
        <v>1.756683464953781</v>
      </c>
      <c r="P67" s="57"/>
      <c r="Q67" s="57"/>
      <c r="R67" s="57"/>
      <c r="S67" s="57"/>
      <c r="T67" s="57"/>
      <c r="U67" s="57"/>
      <c r="V67" s="57"/>
      <c r="W67" s="57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53" t="s">
        <v>21</v>
      </c>
      <c r="B68" s="53" t="s">
        <v>36</v>
      </c>
      <c r="C68" s="53" t="s">
        <v>37</v>
      </c>
      <c r="D68" s="53" t="s">
        <v>41</v>
      </c>
      <c r="E68" s="53" t="s">
        <v>25</v>
      </c>
      <c r="F68" s="53" t="s">
        <v>25</v>
      </c>
      <c r="G68" s="53" t="s">
        <v>25</v>
      </c>
      <c r="H68" s="53" t="s">
        <v>38</v>
      </c>
      <c r="I68" s="74">
        <v>44348</v>
      </c>
      <c r="J68" s="75">
        <f>EFEITO!$J$68*EFEITO!$Y$49</f>
        <v>0</v>
      </c>
      <c r="K68" s="75">
        <f ca="1">EFEITO!$L$68*EFEITO!$Z$49</f>
        <v>1931.3660970426417</v>
      </c>
      <c r="L68" s="75">
        <f>EFEITO!$N$68*EFEITO!$AA$49</f>
        <v>89.866326356247441</v>
      </c>
      <c r="M68" s="75">
        <f>$J$68-EFEITO!$K$68*EFEITO!$Y$68</f>
        <v>0</v>
      </c>
      <c r="N68" s="75">
        <f ca="1">$K$68-EFEITO!$M$68*EFEITO!$Z$68</f>
        <v>38.627321940852653</v>
      </c>
      <c r="O68" s="75">
        <f>$L$68-EFEITO!$O$68*EFEITO!$AA$68</f>
        <v>1.7973265271249517</v>
      </c>
      <c r="P68" s="57"/>
      <c r="Q68" s="57"/>
      <c r="R68" s="57"/>
      <c r="S68" s="57"/>
      <c r="T68" s="57"/>
      <c r="U68" s="57"/>
      <c r="V68" s="57"/>
      <c r="W68" s="57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53" t="s">
        <v>21</v>
      </c>
      <c r="B69" s="53" t="s">
        <v>36</v>
      </c>
      <c r="C69" s="53" t="s">
        <v>37</v>
      </c>
      <c r="D69" s="53" t="s">
        <v>41</v>
      </c>
      <c r="E69" s="53" t="s">
        <v>25</v>
      </c>
      <c r="F69" s="53" t="s">
        <v>25</v>
      </c>
      <c r="G69" s="53" t="s">
        <v>25</v>
      </c>
      <c r="H69" s="53" t="s">
        <v>38</v>
      </c>
      <c r="I69" s="74">
        <v>44378</v>
      </c>
      <c r="J69" s="75">
        <f>EFEITO!$J$69*EFEITO!$Y$49</f>
        <v>0</v>
      </c>
      <c r="K69" s="75">
        <f ca="1">EFEITO!$L$69*EFEITO!$Z$49</f>
        <v>2431.1919965285515</v>
      </c>
      <c r="L69" s="75">
        <f>EFEITO!$N$69*EFEITO!$AA$49</f>
        <v>113.12318970974867</v>
      </c>
      <c r="M69" s="75">
        <f>$J$69-EFEITO!$K$69*EFEITO!$Y$69</f>
        <v>0</v>
      </c>
      <c r="N69" s="75">
        <f ca="1">$K$69-EFEITO!$M$69*EFEITO!$Z$69</f>
        <v>48.623839930571194</v>
      </c>
      <c r="O69" s="75">
        <f>$L$69-EFEITO!$O$69*EFEITO!$AA$69</f>
        <v>2.2624637941949857</v>
      </c>
      <c r="P69" s="57"/>
      <c r="Q69" s="57"/>
      <c r="R69" s="57"/>
      <c r="S69" s="57"/>
      <c r="T69" s="57"/>
      <c r="U69" s="57"/>
      <c r="V69" s="57"/>
      <c r="W69" s="57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53" t="s">
        <v>21</v>
      </c>
      <c r="B70" s="53" t="s">
        <v>36</v>
      </c>
      <c r="C70" s="53" t="s">
        <v>37</v>
      </c>
      <c r="D70" s="53" t="s">
        <v>41</v>
      </c>
      <c r="E70" s="53" t="s">
        <v>25</v>
      </c>
      <c r="F70" s="53" t="s">
        <v>25</v>
      </c>
      <c r="G70" s="53" t="s">
        <v>25</v>
      </c>
      <c r="H70" s="53" t="s">
        <v>38</v>
      </c>
      <c r="I70" s="74">
        <v>44409</v>
      </c>
      <c r="J70" s="75">
        <f>EFEITO!$J$70*EFEITO!$Y$49</f>
        <v>0</v>
      </c>
      <c r="K70" s="75">
        <f ca="1">EFEITO!$L$70*EFEITO!$Z$49</f>
        <v>1460.656269371445</v>
      </c>
      <c r="L70" s="75">
        <f>EFEITO!$N$70*EFEITO!$AA$49</f>
        <v>67.964231741785127</v>
      </c>
      <c r="M70" s="75">
        <f>$J$70-EFEITO!$K$70*EFEITO!$Y$70</f>
        <v>0</v>
      </c>
      <c r="N70" s="75">
        <f ca="1">$K$70-EFEITO!$M$70*EFEITO!$Z$70</f>
        <v>29.213125387428818</v>
      </c>
      <c r="O70" s="75">
        <f>$L$70-EFEITO!$O$70*EFEITO!$AA$70</f>
        <v>1.359284634835717</v>
      </c>
      <c r="P70" s="57"/>
      <c r="Q70" s="57"/>
      <c r="R70" s="57"/>
      <c r="S70" s="57"/>
      <c r="T70" s="57"/>
      <c r="U70" s="57"/>
      <c r="V70" s="57"/>
      <c r="W70" s="57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53" t="s">
        <v>21</v>
      </c>
      <c r="B71" s="53" t="s">
        <v>36</v>
      </c>
      <c r="C71" s="53" t="s">
        <v>37</v>
      </c>
      <c r="D71" s="53" t="s">
        <v>41</v>
      </c>
      <c r="E71" s="53" t="s">
        <v>25</v>
      </c>
      <c r="F71" s="53" t="s">
        <v>25</v>
      </c>
      <c r="G71" s="53" t="s">
        <v>25</v>
      </c>
      <c r="H71" s="53" t="s">
        <v>38</v>
      </c>
      <c r="I71" s="74">
        <v>44440</v>
      </c>
      <c r="J71" s="75">
        <f>EFEITO!$J$71*EFEITO!$Y$49</f>
        <v>0</v>
      </c>
      <c r="K71" s="75">
        <f ca="1">EFEITO!$L$71*EFEITO!$Z$49</f>
        <v>1315.0759102978791</v>
      </c>
      <c r="L71" s="75">
        <f>EFEITO!$N$71*EFEITO!$AA$49</f>
        <v>61.190388046590598</v>
      </c>
      <c r="M71" s="75">
        <f>$J$71-EFEITO!$K$71*EFEITO!$Y$71</f>
        <v>0</v>
      </c>
      <c r="N71" s="75">
        <f ca="1">$K$71-EFEITO!$M$71*EFEITO!$Z$71</f>
        <v>26.301518205957336</v>
      </c>
      <c r="O71" s="75">
        <f>$L$71-EFEITO!$O$71*EFEITO!$AA$71</f>
        <v>1.2238077609318125</v>
      </c>
      <c r="P71" s="57"/>
      <c r="Q71" s="57"/>
      <c r="R71" s="57"/>
      <c r="S71" s="57"/>
      <c r="T71" s="57"/>
      <c r="U71" s="57"/>
      <c r="V71" s="57"/>
      <c r="W71" s="57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53" t="s">
        <v>21</v>
      </c>
      <c r="B72" s="53" t="s">
        <v>36</v>
      </c>
      <c r="C72" s="53" t="s">
        <v>37</v>
      </c>
      <c r="D72" s="53" t="s">
        <v>41</v>
      </c>
      <c r="E72" s="53" t="s">
        <v>25</v>
      </c>
      <c r="F72" s="53" t="s">
        <v>25</v>
      </c>
      <c r="G72" s="53" t="s">
        <v>25</v>
      </c>
      <c r="H72" s="53" t="s">
        <v>38</v>
      </c>
      <c r="I72" s="74">
        <v>44470</v>
      </c>
      <c r="J72" s="75">
        <f>EFEITO!$J$72*EFEITO!$Y$49</f>
        <v>0</v>
      </c>
      <c r="K72" s="75">
        <f ca="1">EFEITO!$L$72*EFEITO!$Z$49</f>
        <v>1557.7098420871557</v>
      </c>
      <c r="L72" s="75">
        <f>EFEITO!$N$72*EFEITO!$AA$49</f>
        <v>72.480127538581485</v>
      </c>
      <c r="M72" s="75">
        <f>$J$72-EFEITO!$K$72*EFEITO!$Y$72</f>
        <v>0</v>
      </c>
      <c r="N72" s="75">
        <f ca="1">$K$72-EFEITO!$M$72*EFEITO!$Z$72</f>
        <v>31.154196841742987</v>
      </c>
      <c r="O72" s="75">
        <f>$L$72-EFEITO!$O$72*EFEITO!$AA$72</f>
        <v>1.4496025507716439</v>
      </c>
      <c r="P72" s="57"/>
      <c r="Q72" s="57"/>
      <c r="R72" s="57"/>
      <c r="S72" s="57"/>
      <c r="T72" s="57"/>
      <c r="U72" s="57"/>
      <c r="V72" s="57"/>
      <c r="W72" s="57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53" t="s">
        <v>21</v>
      </c>
      <c r="B73" s="53" t="s">
        <v>36</v>
      </c>
      <c r="C73" s="53" t="s">
        <v>37</v>
      </c>
      <c r="D73" s="53" t="s">
        <v>41</v>
      </c>
      <c r="E73" s="53" t="s">
        <v>25</v>
      </c>
      <c r="F73" s="53" t="s">
        <v>25</v>
      </c>
      <c r="G73" s="53" t="s">
        <v>25</v>
      </c>
      <c r="H73" s="53" t="s">
        <v>38</v>
      </c>
      <c r="I73" s="74">
        <v>44501</v>
      </c>
      <c r="J73" s="75">
        <f>EFEITO!$J$73*EFEITO!$Y$49</f>
        <v>0</v>
      </c>
      <c r="K73" s="75">
        <f ca="1">EFEITO!$L$73*EFEITO!$Z$49</f>
        <v>1649.9107361670808</v>
      </c>
      <c r="L73" s="75">
        <f>EFEITO!$N$73*EFEITO!$AA$49</f>
        <v>76.770228545538018</v>
      </c>
      <c r="M73" s="75">
        <f>$J$73-EFEITO!$K$73*EFEITO!$Y$73</f>
        <v>0</v>
      </c>
      <c r="N73" s="75">
        <f ca="1">$K$73-EFEITO!$M$73*EFEITO!$Z$73</f>
        <v>32.998214723341334</v>
      </c>
      <c r="O73" s="75">
        <f>$L$73-EFEITO!$O$73*EFEITO!$AA$73</f>
        <v>1.5354045709107567</v>
      </c>
      <c r="P73" s="57"/>
      <c r="Q73" s="57"/>
      <c r="R73" s="57"/>
      <c r="S73" s="57"/>
      <c r="T73" s="57"/>
      <c r="U73" s="57"/>
      <c r="V73" s="57"/>
      <c r="W73" s="57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53" t="s">
        <v>21</v>
      </c>
      <c r="B74" s="53" t="s">
        <v>22</v>
      </c>
      <c r="C74" s="53" t="s">
        <v>23</v>
      </c>
      <c r="D74" s="53" t="s">
        <v>24</v>
      </c>
      <c r="E74" s="53" t="s">
        <v>24</v>
      </c>
      <c r="F74" s="53" t="s">
        <v>25</v>
      </c>
      <c r="G74" s="53" t="s">
        <v>25</v>
      </c>
      <c r="H74" s="53" t="s">
        <v>25</v>
      </c>
      <c r="I74" s="74">
        <v>44287</v>
      </c>
      <c r="J74" s="75">
        <f>EFEITO!$J$74*EFEITO!$Y$74</f>
        <v>0</v>
      </c>
      <c r="K74" s="75">
        <f ca="1">EFEITO!$L$74*EFEITO!$Z$74</f>
        <v>759938.84350098623</v>
      </c>
      <c r="L74" s="75">
        <f>EFEITO!$N$74*EFEITO!$AA$74</f>
        <v>163970.3700233569</v>
      </c>
      <c r="M74" s="75">
        <f>$J$74-EFEITO!$K$74*EFEITO!$Y$74</f>
        <v>0</v>
      </c>
      <c r="N74" s="75">
        <f ca="1">$K$74-EFEITO!$M$74*EFEITO!$Z$74</f>
        <v>0</v>
      </c>
      <c r="O74" s="75">
        <f>$L$74-EFEITO!$O$74*EFEITO!$AA$74</f>
        <v>0</v>
      </c>
      <c r="P74" s="57"/>
      <c r="Q74" s="57"/>
      <c r="R74" s="57"/>
      <c r="S74" s="57"/>
      <c r="T74" s="57"/>
      <c r="U74" s="57"/>
      <c r="V74" s="57"/>
      <c r="W74" s="57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53" t="s">
        <v>27</v>
      </c>
      <c r="B75" s="53" t="s">
        <v>22</v>
      </c>
      <c r="C75" s="53" t="s">
        <v>23</v>
      </c>
      <c r="D75" s="53" t="s">
        <v>24</v>
      </c>
      <c r="E75" s="53" t="s">
        <v>24</v>
      </c>
      <c r="F75" s="53" t="s">
        <v>25</v>
      </c>
      <c r="G75" s="53" t="s">
        <v>25</v>
      </c>
      <c r="H75" s="53" t="s">
        <v>25</v>
      </c>
      <c r="I75" s="74">
        <v>44287</v>
      </c>
      <c r="J75" s="75">
        <f>EFEITO!$J$75*EFEITO!$Y$75</f>
        <v>0</v>
      </c>
      <c r="K75" s="75">
        <f ca="1">EFEITO!$L$75*EFEITO!$Z$75</f>
        <v>-467.77252165397141</v>
      </c>
      <c r="L75" s="75">
        <f>EFEITO!$N$75*EFEITO!$AA$75</f>
        <v>-100.93027105839852</v>
      </c>
      <c r="M75" s="75">
        <f>$J$75-EFEITO!$K$75*EFEITO!$Y$75</f>
        <v>0</v>
      </c>
      <c r="N75" s="75">
        <f ca="1">$K$75-EFEITO!$M$75*EFEITO!$Z$75</f>
        <v>0</v>
      </c>
      <c r="O75" s="75">
        <f>$L$75-EFEITO!$O$75*EFEITO!$AA$75</f>
        <v>0</v>
      </c>
      <c r="P75" s="57"/>
      <c r="Q75" s="57"/>
      <c r="R75" s="57"/>
      <c r="S75" s="57"/>
      <c r="T75" s="57"/>
      <c r="U75" s="57"/>
      <c r="V75" s="57"/>
      <c r="W75" s="57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53" t="s">
        <v>28</v>
      </c>
      <c r="B76" s="53" t="s">
        <v>22</v>
      </c>
      <c r="C76" s="53" t="s">
        <v>23</v>
      </c>
      <c r="D76" s="53" t="s">
        <v>24</v>
      </c>
      <c r="E76" s="53" t="s">
        <v>24</v>
      </c>
      <c r="F76" s="53" t="s">
        <v>25</v>
      </c>
      <c r="G76" s="53" t="s">
        <v>25</v>
      </c>
      <c r="H76" s="53" t="s">
        <v>25</v>
      </c>
      <c r="I76" s="74">
        <v>44287</v>
      </c>
      <c r="J76" s="75">
        <f>EFEITO!$J$76*EFEITO!$Y$76</f>
        <v>0</v>
      </c>
      <c r="K76" s="75">
        <f ca="1">EFEITO!$L$76*EFEITO!$Z$76</f>
        <v>3101.7399422424414</v>
      </c>
      <c r="L76" s="75">
        <f>EFEITO!$N$76*EFEITO!$AA$76</f>
        <v>669.25575708521967</v>
      </c>
      <c r="M76" s="75">
        <f>$J$76-EFEITO!$K$76*EFEITO!$Y$76</f>
        <v>0</v>
      </c>
      <c r="N76" s="75">
        <f ca="1">$K$76-EFEITO!$M$76*EFEITO!$Z$76</f>
        <v>0</v>
      </c>
      <c r="O76" s="75">
        <f>$L$76-EFEITO!$O$76*EFEITO!$AA$76</f>
        <v>0</v>
      </c>
      <c r="P76" s="57"/>
      <c r="Q76" s="57"/>
      <c r="R76" s="57"/>
      <c r="S76" s="57"/>
      <c r="T76" s="57"/>
      <c r="U76" s="57"/>
      <c r="V76" s="57"/>
      <c r="W76" s="57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53" t="s">
        <v>21</v>
      </c>
      <c r="B77" s="53" t="s">
        <v>22</v>
      </c>
      <c r="C77" s="53" t="s">
        <v>23</v>
      </c>
      <c r="D77" s="53" t="s">
        <v>24</v>
      </c>
      <c r="E77" s="53" t="s">
        <v>24</v>
      </c>
      <c r="F77" s="53" t="s">
        <v>25</v>
      </c>
      <c r="G77" s="53" t="s">
        <v>25</v>
      </c>
      <c r="H77" s="53" t="s">
        <v>25</v>
      </c>
      <c r="I77" s="74">
        <v>44317</v>
      </c>
      <c r="J77" s="75">
        <f>EFEITO!$J$77*EFEITO!$Y$77</f>
        <v>0</v>
      </c>
      <c r="K77" s="75">
        <f ca="1">EFEITO!$L$77*EFEITO!$Z$77</f>
        <v>714240.50290119369</v>
      </c>
      <c r="L77" s="75">
        <f>EFEITO!$N$77*EFEITO!$AA$77</f>
        <v>154110.13734584191</v>
      </c>
      <c r="M77" s="75">
        <f>$J$77-EFEITO!$K$77*EFEITO!$Y$77</f>
        <v>0</v>
      </c>
      <c r="N77" s="75">
        <f ca="1">$K$77-EFEITO!$M$77*EFEITO!$Z$77</f>
        <v>0</v>
      </c>
      <c r="O77" s="75">
        <f>$L$77-EFEITO!$O$77*EFEITO!$AA$77</f>
        <v>0</v>
      </c>
      <c r="P77" s="57"/>
      <c r="Q77" s="57"/>
      <c r="R77" s="57"/>
      <c r="S77" s="57"/>
      <c r="T77" s="57"/>
      <c r="U77" s="57"/>
      <c r="V77" s="57"/>
      <c r="W77" s="57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53" t="s">
        <v>27</v>
      </c>
      <c r="B78" s="53" t="s">
        <v>22</v>
      </c>
      <c r="C78" s="53" t="s">
        <v>23</v>
      </c>
      <c r="D78" s="53" t="s">
        <v>24</v>
      </c>
      <c r="E78" s="53" t="s">
        <v>24</v>
      </c>
      <c r="F78" s="53" t="s">
        <v>25</v>
      </c>
      <c r="G78" s="53" t="s">
        <v>25</v>
      </c>
      <c r="H78" s="53" t="s">
        <v>25</v>
      </c>
      <c r="I78" s="74">
        <v>44317</v>
      </c>
      <c r="J78" s="75">
        <f>EFEITO!$J$78*EFEITO!$Y$78</f>
        <v>0</v>
      </c>
      <c r="K78" s="75">
        <f ca="1">EFEITO!$L$78*EFEITO!$Z$78</f>
        <v>-556.72255373582288</v>
      </c>
      <c r="L78" s="75">
        <f>EFEITO!$N$78*EFEITO!$AA$78</f>
        <v>-120.12282819478303</v>
      </c>
      <c r="M78" s="75">
        <f>$J$78-EFEITO!$K$78*EFEITO!$Y$78</f>
        <v>0</v>
      </c>
      <c r="N78" s="75">
        <f ca="1">$K$78-EFEITO!$M$78*EFEITO!$Z$78</f>
        <v>0</v>
      </c>
      <c r="O78" s="75">
        <f>$L$78-EFEITO!$O$78*EFEITO!$AA$78</f>
        <v>0</v>
      </c>
      <c r="P78" s="57"/>
      <c r="Q78" s="57"/>
      <c r="R78" s="57"/>
      <c r="S78" s="57"/>
      <c r="T78" s="57"/>
      <c r="U78" s="57"/>
      <c r="V78" s="57"/>
      <c r="W78" s="57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53" t="s">
        <v>28</v>
      </c>
      <c r="B79" s="53" t="s">
        <v>22</v>
      </c>
      <c r="C79" s="53" t="s">
        <v>23</v>
      </c>
      <c r="D79" s="53" t="s">
        <v>24</v>
      </c>
      <c r="E79" s="53" t="s">
        <v>24</v>
      </c>
      <c r="F79" s="53" t="s">
        <v>25</v>
      </c>
      <c r="G79" s="53" t="s">
        <v>25</v>
      </c>
      <c r="H79" s="53" t="s">
        <v>25</v>
      </c>
      <c r="I79" s="74">
        <v>44317</v>
      </c>
      <c r="J79" s="75">
        <f>EFEITO!$J$79*EFEITO!$Y$79</f>
        <v>0</v>
      </c>
      <c r="K79" s="75">
        <f ca="1">EFEITO!$L$79*EFEITO!$Z$79</f>
        <v>2320.026130887818</v>
      </c>
      <c r="L79" s="75">
        <f>EFEITO!$N$79*EFEITO!$AA$79</f>
        <v>500.58704907487584</v>
      </c>
      <c r="M79" s="75">
        <f>$J$79-EFEITO!$K$79*EFEITO!$Y$79</f>
        <v>0</v>
      </c>
      <c r="N79" s="75">
        <f ca="1">$K$79-EFEITO!$M$79*EFEITO!$Z$79</f>
        <v>0</v>
      </c>
      <c r="O79" s="75">
        <f>$L$79-EFEITO!$O$79*EFEITO!$AA$79</f>
        <v>0</v>
      </c>
      <c r="P79" s="57"/>
      <c r="Q79" s="57"/>
      <c r="R79" s="57"/>
      <c r="S79" s="57"/>
      <c r="T79" s="57"/>
      <c r="U79" s="57"/>
      <c r="V79" s="57"/>
      <c r="W79" s="57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53" t="s">
        <v>28</v>
      </c>
      <c r="B80" s="53" t="s">
        <v>22</v>
      </c>
      <c r="C80" s="53" t="s">
        <v>23</v>
      </c>
      <c r="D80" s="53" t="s">
        <v>24</v>
      </c>
      <c r="E80" s="53" t="s">
        <v>24</v>
      </c>
      <c r="F80" s="53" t="s">
        <v>25</v>
      </c>
      <c r="G80" s="53" t="s">
        <v>25</v>
      </c>
      <c r="H80" s="53" t="s">
        <v>25</v>
      </c>
      <c r="I80" s="74">
        <v>44317</v>
      </c>
      <c r="J80" s="75">
        <f>EFEITO!$J$80*EFEITO!$Y$80</f>
        <v>0</v>
      </c>
      <c r="K80" s="75">
        <f ca="1">EFEITO!$L$80*EFEITO!$Z$80</f>
        <v>-27.208245107389835</v>
      </c>
      <c r="L80" s="75">
        <f>EFEITO!$N$80*EFEITO!$AA$80</f>
        <v>-5.8706645358352603</v>
      </c>
      <c r="M80" s="75">
        <f>$J$80-EFEITO!$K$80*EFEITO!$Y$80</f>
        <v>0</v>
      </c>
      <c r="N80" s="75">
        <f ca="1">$K$80-EFEITO!$M$80*EFEITO!$Z$80</f>
        <v>0</v>
      </c>
      <c r="O80" s="75">
        <f>$L$80-EFEITO!$O$80*EFEITO!$AA$80</f>
        <v>0</v>
      </c>
      <c r="P80" s="57"/>
      <c r="Q80" s="57"/>
      <c r="R80" s="57"/>
      <c r="S80" s="57"/>
      <c r="T80" s="57"/>
      <c r="U80" s="57"/>
      <c r="V80" s="57"/>
      <c r="W80" s="57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53" t="s">
        <v>21</v>
      </c>
      <c r="B81" s="53" t="s">
        <v>22</v>
      </c>
      <c r="C81" s="53" t="s">
        <v>23</v>
      </c>
      <c r="D81" s="53" t="s">
        <v>24</v>
      </c>
      <c r="E81" s="53" t="s">
        <v>24</v>
      </c>
      <c r="F81" s="53" t="s">
        <v>25</v>
      </c>
      <c r="G81" s="53" t="s">
        <v>25</v>
      </c>
      <c r="H81" s="53" t="s">
        <v>25</v>
      </c>
      <c r="I81" s="74">
        <v>44348</v>
      </c>
      <c r="J81" s="75">
        <f>EFEITO!$J$81*EFEITO!$Y$81</f>
        <v>0</v>
      </c>
      <c r="K81" s="75">
        <f ca="1">EFEITO!$L$81*EFEITO!$Z$81</f>
        <v>719157.86996887147</v>
      </c>
      <c r="L81" s="75">
        <f>EFEITO!$N$81*EFEITO!$AA$81</f>
        <v>155171.1470632992</v>
      </c>
      <c r="M81" s="75">
        <f>$J$81-EFEITO!$K$81*EFEITO!$Y$81</f>
        <v>0</v>
      </c>
      <c r="N81" s="75">
        <f ca="1">$K$81-EFEITO!$M$81*EFEITO!$Z$81</f>
        <v>0</v>
      </c>
      <c r="O81" s="75">
        <f>$L$81-EFEITO!$O$81*EFEITO!$AA$81</f>
        <v>0</v>
      </c>
      <c r="P81" s="57"/>
      <c r="Q81" s="57"/>
      <c r="R81" s="57"/>
      <c r="S81" s="57"/>
      <c r="T81" s="57"/>
      <c r="U81" s="57"/>
      <c r="V81" s="57"/>
      <c r="W81" s="57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53" t="s">
        <v>27</v>
      </c>
      <c r="B82" s="53" t="s">
        <v>22</v>
      </c>
      <c r="C82" s="53" t="s">
        <v>23</v>
      </c>
      <c r="D82" s="53" t="s">
        <v>24</v>
      </c>
      <c r="E82" s="53" t="s">
        <v>24</v>
      </c>
      <c r="F82" s="53" t="s">
        <v>25</v>
      </c>
      <c r="G82" s="53" t="s">
        <v>25</v>
      </c>
      <c r="H82" s="53" t="s">
        <v>25</v>
      </c>
      <c r="I82" s="74">
        <v>44348</v>
      </c>
      <c r="J82" s="75">
        <f>EFEITO!$J$82*EFEITO!$Y$82</f>
        <v>0</v>
      </c>
      <c r="K82" s="75">
        <f ca="1">EFEITO!$L$82*EFEITO!$Z$82</f>
        <v>-456.26134103161417</v>
      </c>
      <c r="L82" s="75">
        <f>EFEITO!$N$82*EFEITO!$AA$82</f>
        <v>-98.446528370160522</v>
      </c>
      <c r="M82" s="75">
        <f>$J$82-EFEITO!$K$82*EFEITO!$Y$82</f>
        <v>0</v>
      </c>
      <c r="N82" s="75">
        <f ca="1">$K$82-EFEITO!$M$82*EFEITO!$Z$82</f>
        <v>0</v>
      </c>
      <c r="O82" s="75">
        <f>$L$82-EFEITO!$O$82*EFEITO!$AA$82</f>
        <v>0</v>
      </c>
      <c r="P82" s="57"/>
      <c r="Q82" s="57"/>
      <c r="R82" s="57"/>
      <c r="S82" s="57"/>
      <c r="T82" s="57"/>
      <c r="U82" s="57"/>
      <c r="V82" s="57"/>
      <c r="W82" s="57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53" t="s">
        <v>28</v>
      </c>
      <c r="B83" s="53" t="s">
        <v>22</v>
      </c>
      <c r="C83" s="53" t="s">
        <v>23</v>
      </c>
      <c r="D83" s="53" t="s">
        <v>24</v>
      </c>
      <c r="E83" s="53" t="s">
        <v>24</v>
      </c>
      <c r="F83" s="53" t="s">
        <v>25</v>
      </c>
      <c r="G83" s="53" t="s">
        <v>25</v>
      </c>
      <c r="H83" s="53" t="s">
        <v>25</v>
      </c>
      <c r="I83" s="74">
        <v>44348</v>
      </c>
      <c r="J83" s="75">
        <f>EFEITO!$J$83*EFEITO!$Y$83</f>
        <v>0</v>
      </c>
      <c r="K83" s="75">
        <f ca="1">EFEITO!$L$83*EFEITO!$Z$83</f>
        <v>2858.9586782072706</v>
      </c>
      <c r="L83" s="75">
        <f>EFEITO!$N$83*EFEITO!$AA$83</f>
        <v>616.87136584238203</v>
      </c>
      <c r="M83" s="75">
        <f>$J$83-EFEITO!$K$83*EFEITO!$Y$83</f>
        <v>0</v>
      </c>
      <c r="N83" s="75">
        <f ca="1">$K$83-EFEITO!$M$83*EFEITO!$Z$83</f>
        <v>0</v>
      </c>
      <c r="O83" s="75">
        <f>$L$83-EFEITO!$O$83*EFEITO!$AA$83</f>
        <v>0</v>
      </c>
      <c r="P83" s="57"/>
      <c r="Q83" s="57"/>
      <c r="R83" s="57"/>
      <c r="S83" s="57"/>
      <c r="T83" s="57"/>
      <c r="U83" s="57"/>
      <c r="V83" s="57"/>
      <c r="W83" s="57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53" t="s">
        <v>21</v>
      </c>
      <c r="B84" s="53" t="s">
        <v>22</v>
      </c>
      <c r="C84" s="53" t="s">
        <v>23</v>
      </c>
      <c r="D84" s="53" t="s">
        <v>24</v>
      </c>
      <c r="E84" s="53" t="s">
        <v>24</v>
      </c>
      <c r="F84" s="53" t="s">
        <v>25</v>
      </c>
      <c r="G84" s="53" t="s">
        <v>25</v>
      </c>
      <c r="H84" s="53" t="s">
        <v>25</v>
      </c>
      <c r="I84" s="74">
        <v>44378</v>
      </c>
      <c r="J84" s="75">
        <f>EFEITO!$J$84*EFEITO!$Y$84</f>
        <v>0</v>
      </c>
      <c r="K84" s="75">
        <f ca="1">EFEITO!$L$84*EFEITO!$Z$84</f>
        <v>682163.02839054668</v>
      </c>
      <c r="L84" s="75">
        <f>EFEITO!$N$84*EFEITO!$AA$84</f>
        <v>147188.84965288197</v>
      </c>
      <c r="M84" s="75">
        <f>$J$84-EFEITO!$K$84*EFEITO!$Y$84</f>
        <v>0</v>
      </c>
      <c r="N84" s="75">
        <f ca="1">$K$84-EFEITO!$M$84*EFEITO!$Z$84</f>
        <v>0</v>
      </c>
      <c r="O84" s="75">
        <f>$L$84-EFEITO!$O$84*EFEITO!$AA$84</f>
        <v>0</v>
      </c>
      <c r="P84" s="57"/>
      <c r="Q84" s="57"/>
      <c r="R84" s="57"/>
      <c r="S84" s="57"/>
      <c r="T84" s="57"/>
      <c r="U84" s="57"/>
      <c r="V84" s="57"/>
      <c r="W84" s="57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53" t="s">
        <v>27</v>
      </c>
      <c r="B85" s="53" t="s">
        <v>22</v>
      </c>
      <c r="C85" s="53" t="s">
        <v>23</v>
      </c>
      <c r="D85" s="53" t="s">
        <v>24</v>
      </c>
      <c r="E85" s="53" t="s">
        <v>24</v>
      </c>
      <c r="F85" s="53" t="s">
        <v>25</v>
      </c>
      <c r="G85" s="53" t="s">
        <v>25</v>
      </c>
      <c r="H85" s="53" t="s">
        <v>25</v>
      </c>
      <c r="I85" s="74">
        <v>44378</v>
      </c>
      <c r="J85" s="75">
        <f>EFEITO!$J$85*EFEITO!$Y$85</f>
        <v>0</v>
      </c>
      <c r="K85" s="75">
        <f ca="1">EFEITO!$L$85*EFEITO!$Z$85</f>
        <v>-502.30606352104314</v>
      </c>
      <c r="L85" s="75">
        <f>EFEITO!$N$85*EFEITO!$AA$85</f>
        <v>-108.38149912311249</v>
      </c>
      <c r="M85" s="75">
        <f>$J$85-EFEITO!$K$85*EFEITO!$Y$85</f>
        <v>0</v>
      </c>
      <c r="N85" s="75">
        <f ca="1">$K$85-EFEITO!$M$85*EFEITO!$Z$85</f>
        <v>0</v>
      </c>
      <c r="O85" s="75">
        <f>$L$85-EFEITO!$O$85*EFEITO!$AA$85</f>
        <v>0</v>
      </c>
      <c r="P85" s="57"/>
      <c r="Q85" s="57"/>
      <c r="R85" s="57"/>
      <c r="S85" s="57"/>
      <c r="T85" s="57"/>
      <c r="U85" s="57"/>
      <c r="V85" s="57"/>
      <c r="W85" s="57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53" t="s">
        <v>28</v>
      </c>
      <c r="B86" s="53" t="s">
        <v>22</v>
      </c>
      <c r="C86" s="53" t="s">
        <v>23</v>
      </c>
      <c r="D86" s="53" t="s">
        <v>24</v>
      </c>
      <c r="E86" s="53" t="s">
        <v>24</v>
      </c>
      <c r="F86" s="53" t="s">
        <v>25</v>
      </c>
      <c r="G86" s="53" t="s">
        <v>25</v>
      </c>
      <c r="H86" s="53" t="s">
        <v>25</v>
      </c>
      <c r="I86" s="74">
        <v>44378</v>
      </c>
      <c r="J86" s="75">
        <f>EFEITO!$J$86*EFEITO!$Y$86</f>
        <v>0</v>
      </c>
      <c r="K86" s="75">
        <f ca="1">EFEITO!$L$86*EFEITO!$Z$86</f>
        <v>2398.5114533129808</v>
      </c>
      <c r="L86" s="75">
        <f>EFEITO!$N$86*EFEITO!$AA$86</f>
        <v>517.52165831286209</v>
      </c>
      <c r="M86" s="75">
        <f>$J$86-EFEITO!$K$86*EFEITO!$Y$86</f>
        <v>0</v>
      </c>
      <c r="N86" s="75">
        <f ca="1">$K$86-EFEITO!$M$86*EFEITO!$Z$86</f>
        <v>0</v>
      </c>
      <c r="O86" s="75">
        <f>$L$86-EFEITO!$O$86*EFEITO!$AA$86</f>
        <v>0</v>
      </c>
      <c r="P86" s="57"/>
      <c r="Q86" s="57"/>
      <c r="R86" s="57"/>
      <c r="S86" s="57"/>
      <c r="T86" s="57"/>
      <c r="U86" s="57"/>
      <c r="V86" s="57"/>
      <c r="W86" s="57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53" t="s">
        <v>21</v>
      </c>
      <c r="B87" s="53" t="s">
        <v>22</v>
      </c>
      <c r="C87" s="53" t="s">
        <v>23</v>
      </c>
      <c r="D87" s="53" t="s">
        <v>24</v>
      </c>
      <c r="E87" s="53" t="s">
        <v>24</v>
      </c>
      <c r="F87" s="53" t="s">
        <v>25</v>
      </c>
      <c r="G87" s="53" t="s">
        <v>25</v>
      </c>
      <c r="H87" s="53" t="s">
        <v>25</v>
      </c>
      <c r="I87" s="74">
        <v>44409</v>
      </c>
      <c r="J87" s="75">
        <f>EFEITO!$J$87*EFEITO!$Y$87</f>
        <v>0</v>
      </c>
      <c r="K87" s="75">
        <f ca="1">EFEITO!$L$87*EFEITO!$Z$87</f>
        <v>730862.64771987754</v>
      </c>
      <c r="L87" s="75">
        <f>EFEITO!$N$87*EFEITO!$AA$87</f>
        <v>157696.66178765756</v>
      </c>
      <c r="M87" s="75">
        <f>$J$87-EFEITO!$K$87*EFEITO!$Y$87</f>
        <v>0</v>
      </c>
      <c r="N87" s="75">
        <f ca="1">$K$87-EFEITO!$M$87*EFEITO!$Z$87</f>
        <v>0</v>
      </c>
      <c r="O87" s="75">
        <f>$L$87-EFEITO!$O$87*EFEITO!$AA$87</f>
        <v>0</v>
      </c>
      <c r="P87" s="57"/>
      <c r="Q87" s="57"/>
      <c r="R87" s="57"/>
      <c r="S87" s="57"/>
      <c r="T87" s="57"/>
      <c r="U87" s="57"/>
      <c r="V87" s="57"/>
      <c r="W87" s="57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53" t="s">
        <v>27</v>
      </c>
      <c r="B88" s="53" t="s">
        <v>22</v>
      </c>
      <c r="C88" s="53" t="s">
        <v>23</v>
      </c>
      <c r="D88" s="53" t="s">
        <v>24</v>
      </c>
      <c r="E88" s="53" t="s">
        <v>24</v>
      </c>
      <c r="F88" s="53" t="s">
        <v>25</v>
      </c>
      <c r="G88" s="53" t="s">
        <v>25</v>
      </c>
      <c r="H88" s="53" t="s">
        <v>25</v>
      </c>
      <c r="I88" s="74">
        <v>44409</v>
      </c>
      <c r="J88" s="75">
        <f>EFEITO!$J$88*EFEITO!$Y$88</f>
        <v>0</v>
      </c>
      <c r="K88" s="75">
        <f ca="1">EFEITO!$L$88*EFEITO!$Z$88</f>
        <v>-604.86021815658944</v>
      </c>
      <c r="L88" s="75">
        <f>EFEITO!$N$88*EFEITO!$AA$88</f>
        <v>-130.50938852741461</v>
      </c>
      <c r="M88" s="75">
        <f>$J$88-EFEITO!$K$88*EFEITO!$Y$88</f>
        <v>0</v>
      </c>
      <c r="N88" s="75">
        <f ca="1">$K$88-EFEITO!$M$88*EFEITO!$Z$88</f>
        <v>0</v>
      </c>
      <c r="O88" s="75">
        <f>$L$88-EFEITO!$O$88*EFEITO!$AA$88</f>
        <v>0</v>
      </c>
      <c r="P88" s="57"/>
      <c r="Q88" s="57"/>
      <c r="R88" s="57"/>
      <c r="S88" s="57"/>
      <c r="T88" s="57"/>
      <c r="U88" s="57"/>
      <c r="V88" s="57"/>
      <c r="W88" s="57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53" t="s">
        <v>28</v>
      </c>
      <c r="B89" s="53" t="s">
        <v>22</v>
      </c>
      <c r="C89" s="53" t="s">
        <v>23</v>
      </c>
      <c r="D89" s="53" t="s">
        <v>24</v>
      </c>
      <c r="E89" s="53" t="s">
        <v>24</v>
      </c>
      <c r="F89" s="53" t="s">
        <v>25</v>
      </c>
      <c r="G89" s="53" t="s">
        <v>25</v>
      </c>
      <c r="H89" s="53" t="s">
        <v>25</v>
      </c>
      <c r="I89" s="74">
        <v>44409</v>
      </c>
      <c r="J89" s="75">
        <f>EFEITO!$J$89*EFEITO!$Y$89</f>
        <v>0</v>
      </c>
      <c r="K89" s="75">
        <f ca="1">EFEITO!$L$89*EFEITO!$Z$89</f>
        <v>2600.4803496870668</v>
      </c>
      <c r="L89" s="75">
        <f>EFEITO!$N$89*EFEITO!$AA$89</f>
        <v>561.10005275194692</v>
      </c>
      <c r="M89" s="75">
        <f>$J$89-EFEITO!$K$89*EFEITO!$Y$89</f>
        <v>0</v>
      </c>
      <c r="N89" s="75">
        <f ca="1">$K$89-EFEITO!$M$89*EFEITO!$Z$89</f>
        <v>0</v>
      </c>
      <c r="O89" s="75">
        <f>$L$89-EFEITO!$O$89*EFEITO!$AA$89</f>
        <v>0</v>
      </c>
      <c r="P89" s="57"/>
      <c r="Q89" s="57"/>
      <c r="R89" s="57"/>
      <c r="S89" s="57"/>
      <c r="T89" s="57"/>
      <c r="U89" s="57"/>
      <c r="V89" s="57"/>
      <c r="W89" s="57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53" t="s">
        <v>21</v>
      </c>
      <c r="B90" s="53" t="s">
        <v>22</v>
      </c>
      <c r="C90" s="53" t="s">
        <v>23</v>
      </c>
      <c r="D90" s="53" t="s">
        <v>24</v>
      </c>
      <c r="E90" s="53" t="s">
        <v>24</v>
      </c>
      <c r="F90" s="53" t="s">
        <v>25</v>
      </c>
      <c r="G90" s="53" t="s">
        <v>25</v>
      </c>
      <c r="H90" s="53" t="s">
        <v>25</v>
      </c>
      <c r="I90" s="74">
        <v>44440</v>
      </c>
      <c r="J90" s="75">
        <f>EFEITO!$J$90*EFEITO!$Y$90</f>
        <v>0</v>
      </c>
      <c r="K90" s="75">
        <f ca="1">EFEITO!$L$90*EFEITO!$Z$90</f>
        <v>745176.27758829587</v>
      </c>
      <c r="L90" s="75">
        <f>EFEITO!$N$90*EFEITO!$AA$90</f>
        <v>160785.08292308659</v>
      </c>
      <c r="M90" s="75">
        <f>$J$90-EFEITO!$K$90*EFEITO!$Y$90</f>
        <v>0</v>
      </c>
      <c r="N90" s="75">
        <f ca="1">$K$90-EFEITO!$M$90*EFEITO!$Z$90</f>
        <v>0</v>
      </c>
      <c r="O90" s="75">
        <f>$L$90-EFEITO!$O$90*EFEITO!$AA$90</f>
        <v>0</v>
      </c>
      <c r="P90" s="57"/>
      <c r="Q90" s="57"/>
      <c r="R90" s="57"/>
      <c r="S90" s="57"/>
      <c r="T90" s="57"/>
      <c r="U90" s="57"/>
      <c r="V90" s="57"/>
      <c r="W90" s="57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53" t="s">
        <v>27</v>
      </c>
      <c r="B91" s="53" t="s">
        <v>22</v>
      </c>
      <c r="C91" s="53" t="s">
        <v>23</v>
      </c>
      <c r="D91" s="53" t="s">
        <v>24</v>
      </c>
      <c r="E91" s="53" t="s">
        <v>24</v>
      </c>
      <c r="F91" s="53" t="s">
        <v>25</v>
      </c>
      <c r="G91" s="53" t="s">
        <v>25</v>
      </c>
      <c r="H91" s="53" t="s">
        <v>25</v>
      </c>
      <c r="I91" s="74">
        <v>44440</v>
      </c>
      <c r="J91" s="75">
        <f>EFEITO!$J$91*EFEITO!$Y$91</f>
        <v>0</v>
      </c>
      <c r="K91" s="75">
        <f ca="1">EFEITO!$L$91*EFEITO!$Z$91</f>
        <v>-146.50593519363758</v>
      </c>
      <c r="L91" s="75">
        <f>EFEITO!$N$91*EFEITO!$AA$91</f>
        <v>-31.61127057757448</v>
      </c>
      <c r="M91" s="75">
        <f>$J$91-EFEITO!$K$91*EFEITO!$Y$91</f>
        <v>0</v>
      </c>
      <c r="N91" s="75">
        <f ca="1">$K$91-EFEITO!$M$91*EFEITO!$Z$91</f>
        <v>0</v>
      </c>
      <c r="O91" s="75">
        <f>$L$91-EFEITO!$O$91*EFEITO!$AA$91</f>
        <v>0</v>
      </c>
      <c r="P91" s="57"/>
      <c r="Q91" s="57"/>
      <c r="R91" s="57"/>
      <c r="S91" s="57"/>
      <c r="T91" s="57"/>
      <c r="U91" s="57"/>
      <c r="V91" s="57"/>
      <c r="W91" s="57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53" t="s">
        <v>28</v>
      </c>
      <c r="B92" s="53" t="s">
        <v>22</v>
      </c>
      <c r="C92" s="53" t="s">
        <v>23</v>
      </c>
      <c r="D92" s="53" t="s">
        <v>24</v>
      </c>
      <c r="E92" s="53" t="s">
        <v>24</v>
      </c>
      <c r="F92" s="53" t="s">
        <v>25</v>
      </c>
      <c r="G92" s="53" t="s">
        <v>25</v>
      </c>
      <c r="H92" s="53" t="s">
        <v>25</v>
      </c>
      <c r="I92" s="74">
        <v>44440</v>
      </c>
      <c r="J92" s="75">
        <f>EFEITO!$J$92*EFEITO!$Y$92</f>
        <v>0</v>
      </c>
      <c r="K92" s="75">
        <f ca="1">EFEITO!$L$92*EFEITO!$Z$92</f>
        <v>3755.7842957854664</v>
      </c>
      <c r="L92" s="75">
        <f>EFEITO!$N$92*EFEITO!$AA$92</f>
        <v>810.37750073510574</v>
      </c>
      <c r="M92" s="75">
        <f>$J$92-EFEITO!$K$92*EFEITO!$Y$92</f>
        <v>0</v>
      </c>
      <c r="N92" s="75">
        <f ca="1">$K$92-EFEITO!$M$92*EFEITO!$Z$92</f>
        <v>0</v>
      </c>
      <c r="O92" s="75">
        <f>$L$92-EFEITO!$O$92*EFEITO!$AA$92</f>
        <v>0</v>
      </c>
      <c r="P92" s="57"/>
      <c r="Q92" s="57"/>
      <c r="R92" s="57"/>
      <c r="S92" s="57"/>
      <c r="T92" s="57"/>
      <c r="U92" s="57"/>
      <c r="V92" s="57"/>
      <c r="W92" s="57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53" t="s">
        <v>21</v>
      </c>
      <c r="B93" s="53" t="s">
        <v>22</v>
      </c>
      <c r="C93" s="53" t="s">
        <v>23</v>
      </c>
      <c r="D93" s="53" t="s">
        <v>24</v>
      </c>
      <c r="E93" s="53" t="s">
        <v>24</v>
      </c>
      <c r="F93" s="53" t="s">
        <v>25</v>
      </c>
      <c r="G93" s="53" t="s">
        <v>25</v>
      </c>
      <c r="H93" s="53" t="s">
        <v>25</v>
      </c>
      <c r="I93" s="74">
        <v>44470</v>
      </c>
      <c r="J93" s="75">
        <f>EFEITO!$J$93*EFEITO!$Y$93</f>
        <v>0</v>
      </c>
      <c r="K93" s="75">
        <f ca="1">EFEITO!$L$93*EFEITO!$Z$93</f>
        <v>741554.44157611602</v>
      </c>
      <c r="L93" s="75">
        <f>EFEITO!$N$93*EFEITO!$AA$93</f>
        <v>160003.60715545097</v>
      </c>
      <c r="M93" s="75">
        <f>$J$93-EFEITO!$K$93*EFEITO!$Y$93</f>
        <v>0</v>
      </c>
      <c r="N93" s="75">
        <f ca="1">$K$93-EFEITO!$M$93*EFEITO!$Z$93</f>
        <v>0</v>
      </c>
      <c r="O93" s="75">
        <f>$L$93-EFEITO!$O$93*EFEITO!$AA$93</f>
        <v>0</v>
      </c>
      <c r="P93" s="57"/>
      <c r="Q93" s="57"/>
      <c r="R93" s="57"/>
      <c r="S93" s="57"/>
      <c r="T93" s="57"/>
      <c r="U93" s="57"/>
      <c r="V93" s="57"/>
      <c r="W93" s="57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53" t="s">
        <v>27</v>
      </c>
      <c r="B94" s="53" t="s">
        <v>22</v>
      </c>
      <c r="C94" s="53" t="s">
        <v>23</v>
      </c>
      <c r="D94" s="53" t="s">
        <v>24</v>
      </c>
      <c r="E94" s="53" t="s">
        <v>24</v>
      </c>
      <c r="F94" s="53" t="s">
        <v>25</v>
      </c>
      <c r="G94" s="53" t="s">
        <v>25</v>
      </c>
      <c r="H94" s="53" t="s">
        <v>25</v>
      </c>
      <c r="I94" s="74">
        <v>44470</v>
      </c>
      <c r="J94" s="75">
        <f>EFEITO!$J$94*EFEITO!$Y$94</f>
        <v>0</v>
      </c>
      <c r="K94" s="75">
        <f ca="1">EFEITO!$L$94*EFEITO!$Z$94</f>
        <v>-324.40599935734036</v>
      </c>
      <c r="L94" s="75">
        <f>EFEITO!$N$94*EFEITO!$AA$94</f>
        <v>-69.996384850343489</v>
      </c>
      <c r="M94" s="75">
        <f>$J$94-EFEITO!$K$94*EFEITO!$Y$94</f>
        <v>0</v>
      </c>
      <c r="N94" s="75">
        <f ca="1">$K$94-EFEITO!$M$94*EFEITO!$Z$94</f>
        <v>0</v>
      </c>
      <c r="O94" s="75">
        <f>$L$94-EFEITO!$O$94*EFEITO!$AA$94</f>
        <v>0</v>
      </c>
      <c r="P94" s="57"/>
      <c r="Q94" s="57"/>
      <c r="R94" s="57"/>
      <c r="S94" s="57"/>
      <c r="T94" s="57"/>
      <c r="U94" s="57"/>
      <c r="V94" s="57"/>
      <c r="W94" s="5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53" t="s">
        <v>28</v>
      </c>
      <c r="B95" s="53" t="s">
        <v>22</v>
      </c>
      <c r="C95" s="53" t="s">
        <v>23</v>
      </c>
      <c r="D95" s="53" t="s">
        <v>24</v>
      </c>
      <c r="E95" s="53" t="s">
        <v>24</v>
      </c>
      <c r="F95" s="53" t="s">
        <v>25</v>
      </c>
      <c r="G95" s="53" t="s">
        <v>25</v>
      </c>
      <c r="H95" s="53" t="s">
        <v>25</v>
      </c>
      <c r="I95" s="74">
        <v>44470</v>
      </c>
      <c r="J95" s="75">
        <f>EFEITO!$J$95*EFEITO!$Y$95</f>
        <v>0</v>
      </c>
      <c r="K95" s="75">
        <f ca="1">EFEITO!$L$95*EFEITO!$Z$95</f>
        <v>5252.2377766919071</v>
      </c>
      <c r="L95" s="75">
        <f>EFEITO!$N$95*EFEITO!$AA$95</f>
        <v>1133.2640502060451</v>
      </c>
      <c r="M95" s="75">
        <f>$J$95-EFEITO!$K$95*EFEITO!$Y$95</f>
        <v>0</v>
      </c>
      <c r="N95" s="75">
        <f ca="1">$K$95-EFEITO!$M$95*EFEITO!$Z$95</f>
        <v>0</v>
      </c>
      <c r="O95" s="75">
        <f>$L$95-EFEITO!$O$95*EFEITO!$AA$95</f>
        <v>0</v>
      </c>
      <c r="P95" s="57"/>
      <c r="Q95" s="57"/>
      <c r="R95" s="57"/>
      <c r="S95" s="57"/>
      <c r="T95" s="57"/>
      <c r="U95" s="57"/>
      <c r="V95" s="57"/>
      <c r="W95" s="57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53" t="s">
        <v>21</v>
      </c>
      <c r="B96" s="53" t="s">
        <v>22</v>
      </c>
      <c r="C96" s="53" t="s">
        <v>23</v>
      </c>
      <c r="D96" s="53" t="s">
        <v>24</v>
      </c>
      <c r="E96" s="53" t="s">
        <v>24</v>
      </c>
      <c r="F96" s="53" t="s">
        <v>25</v>
      </c>
      <c r="G96" s="53" t="s">
        <v>25</v>
      </c>
      <c r="H96" s="53" t="s">
        <v>25</v>
      </c>
      <c r="I96" s="74">
        <v>44501</v>
      </c>
      <c r="J96" s="75">
        <f>EFEITO!$J$96*EFEITO!$Y$96</f>
        <v>0</v>
      </c>
      <c r="K96" s="75">
        <f ca="1">EFEITO!$L$96*EFEITO!$Z$96</f>
        <v>740991.44019658619</v>
      </c>
      <c r="L96" s="75">
        <f>EFEITO!$N$96*EFEITO!$AA$96</f>
        <v>159882.12955851716</v>
      </c>
      <c r="M96" s="75">
        <f>$J$96-EFEITO!$K$96*EFEITO!$Y$96</f>
        <v>0</v>
      </c>
      <c r="N96" s="75">
        <f ca="1">$K$96-EFEITO!$M$96*EFEITO!$Z$96</f>
        <v>0</v>
      </c>
      <c r="O96" s="75">
        <f>$L$96-EFEITO!$O$96*EFEITO!$AA$96</f>
        <v>0</v>
      </c>
      <c r="P96" s="57"/>
      <c r="Q96" s="57"/>
      <c r="R96" s="57"/>
      <c r="S96" s="57"/>
      <c r="T96" s="57"/>
      <c r="U96" s="57"/>
      <c r="V96" s="57"/>
      <c r="W96" s="57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53" t="s">
        <v>27</v>
      </c>
      <c r="B97" s="53" t="s">
        <v>22</v>
      </c>
      <c r="C97" s="53" t="s">
        <v>23</v>
      </c>
      <c r="D97" s="53" t="s">
        <v>24</v>
      </c>
      <c r="E97" s="53" t="s">
        <v>24</v>
      </c>
      <c r="F97" s="53" t="s">
        <v>25</v>
      </c>
      <c r="G97" s="53" t="s">
        <v>25</v>
      </c>
      <c r="H97" s="53" t="s">
        <v>25</v>
      </c>
      <c r="I97" s="74">
        <v>44501</v>
      </c>
      <c r="J97" s="75">
        <f>EFEITO!$J$97*EFEITO!$Y$97</f>
        <v>0</v>
      </c>
      <c r="K97" s="75">
        <f ca="1">EFEITO!$L$97*EFEITO!$Z$97</f>
        <v>-2514.6697305022221</v>
      </c>
      <c r="L97" s="75">
        <f>EFEITO!$N$97*EFEITO!$AA$97</f>
        <v>-542.5848799850819</v>
      </c>
      <c r="M97" s="75">
        <f>$J$97-EFEITO!$K$97*EFEITO!$Y$97</f>
        <v>0</v>
      </c>
      <c r="N97" s="75">
        <f ca="1">$K$97-EFEITO!$M$97*EFEITO!$Z$97</f>
        <v>0</v>
      </c>
      <c r="O97" s="75">
        <f>$L$97-EFEITO!$O$97*EFEITO!$AA$97</f>
        <v>0</v>
      </c>
      <c r="P97" s="57"/>
      <c r="Q97" s="57"/>
      <c r="R97" s="57"/>
      <c r="S97" s="57"/>
      <c r="T97" s="57"/>
      <c r="U97" s="57"/>
      <c r="V97" s="57"/>
      <c r="W97" s="57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53" t="s">
        <v>28</v>
      </c>
      <c r="B98" s="53" t="s">
        <v>22</v>
      </c>
      <c r="C98" s="53" t="s">
        <v>23</v>
      </c>
      <c r="D98" s="53" t="s">
        <v>24</v>
      </c>
      <c r="E98" s="53" t="s">
        <v>24</v>
      </c>
      <c r="F98" s="53" t="s">
        <v>25</v>
      </c>
      <c r="G98" s="53" t="s">
        <v>25</v>
      </c>
      <c r="H98" s="53" t="s">
        <v>25</v>
      </c>
      <c r="I98" s="74">
        <v>44501</v>
      </c>
      <c r="J98" s="75">
        <f>EFEITO!$J$98*EFEITO!$Y$98</f>
        <v>0</v>
      </c>
      <c r="K98" s="75">
        <f ca="1">EFEITO!$L$98*EFEITO!$Z$98</f>
        <v>4023.6808629966895</v>
      </c>
      <c r="L98" s="75">
        <f>EFEITO!$N$98*EFEITO!$AA$98</f>
        <v>868.18096693409905</v>
      </c>
      <c r="M98" s="75">
        <f>$J$98-EFEITO!$K$98*EFEITO!$Y$98</f>
        <v>0</v>
      </c>
      <c r="N98" s="75">
        <f ca="1">$K$98-EFEITO!$M$98*EFEITO!$Z$98</f>
        <v>0</v>
      </c>
      <c r="O98" s="75">
        <f>$L$98-EFEITO!$O$98*EFEITO!$AA$98</f>
        <v>0</v>
      </c>
      <c r="P98" s="57"/>
      <c r="Q98" s="57"/>
      <c r="R98" s="57"/>
      <c r="S98" s="57"/>
      <c r="T98" s="57"/>
      <c r="U98" s="57"/>
      <c r="V98" s="57"/>
      <c r="W98" s="57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53" t="s">
        <v>21</v>
      </c>
      <c r="B99" s="53" t="s">
        <v>22</v>
      </c>
      <c r="C99" s="53" t="s">
        <v>23</v>
      </c>
      <c r="D99" s="53" t="s">
        <v>24</v>
      </c>
      <c r="E99" s="53" t="s">
        <v>24</v>
      </c>
      <c r="F99" s="53" t="s">
        <v>25</v>
      </c>
      <c r="G99" s="53" t="s">
        <v>25</v>
      </c>
      <c r="H99" s="53" t="s">
        <v>25</v>
      </c>
      <c r="I99" s="74">
        <v>44531</v>
      </c>
      <c r="J99" s="75">
        <f>EFEITO!$J$99*EFEITO!$Y$99</f>
        <v>0</v>
      </c>
      <c r="K99" s="75">
        <f ca="1">EFEITO!$L$99*EFEITO!$Z$99</f>
        <v>755535.29367745179</v>
      </c>
      <c r="L99" s="75">
        <f>EFEITO!$N$99*EFEITO!$AA$99</f>
        <v>163020.22554771096</v>
      </c>
      <c r="M99" s="75">
        <f>$J$99-EFEITO!$K$99*EFEITO!$Y$99</f>
        <v>0</v>
      </c>
      <c r="N99" s="75">
        <f ca="1">$K$99-EFEITO!$M$99*EFEITO!$Z$99</f>
        <v>0</v>
      </c>
      <c r="O99" s="75">
        <f>$L$99-EFEITO!$O$99*EFEITO!$AA$99</f>
        <v>0</v>
      </c>
      <c r="P99" s="57"/>
      <c r="Q99" s="57"/>
      <c r="R99" s="57"/>
      <c r="S99" s="57"/>
      <c r="T99" s="57"/>
      <c r="U99" s="57"/>
      <c r="V99" s="57"/>
      <c r="W99" s="57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53" t="s">
        <v>27</v>
      </c>
      <c r="B100" s="53" t="s">
        <v>22</v>
      </c>
      <c r="C100" s="53" t="s">
        <v>23</v>
      </c>
      <c r="D100" s="53" t="s">
        <v>24</v>
      </c>
      <c r="E100" s="53" t="s">
        <v>24</v>
      </c>
      <c r="F100" s="53" t="s">
        <v>25</v>
      </c>
      <c r="G100" s="53" t="s">
        <v>25</v>
      </c>
      <c r="H100" s="53" t="s">
        <v>25</v>
      </c>
      <c r="I100" s="74">
        <v>44531</v>
      </c>
      <c r="J100" s="75">
        <f>EFEITO!$J$100*EFEITO!$Y$100</f>
        <v>0</v>
      </c>
      <c r="K100" s="75">
        <f ca="1">EFEITO!$L$100*EFEITO!$Z$100</f>
        <v>-721.01849534583062</v>
      </c>
      <c r="L100" s="75">
        <f>EFEITO!$N$100*EFEITO!$AA$100</f>
        <v>-155.57261019963437</v>
      </c>
      <c r="M100" s="75">
        <f>$J$100-EFEITO!$K$100*EFEITO!$Y$100</f>
        <v>0</v>
      </c>
      <c r="N100" s="75">
        <f ca="1">$K$100-EFEITO!$M$100*EFEITO!$Z$100</f>
        <v>0</v>
      </c>
      <c r="O100" s="75">
        <f>$L$100-EFEITO!$O$100*EFEITO!$AA$100</f>
        <v>0</v>
      </c>
      <c r="P100" s="57"/>
      <c r="Q100" s="57"/>
      <c r="R100" s="57"/>
      <c r="S100" s="57"/>
      <c r="T100" s="57"/>
      <c r="U100" s="57"/>
      <c r="V100" s="57"/>
      <c r="W100" s="57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53" t="s">
        <v>28</v>
      </c>
      <c r="B101" s="53" t="s">
        <v>22</v>
      </c>
      <c r="C101" s="53" t="s">
        <v>23</v>
      </c>
      <c r="D101" s="53" t="s">
        <v>24</v>
      </c>
      <c r="E101" s="53" t="s">
        <v>24</v>
      </c>
      <c r="F101" s="53" t="s">
        <v>25</v>
      </c>
      <c r="G101" s="53" t="s">
        <v>25</v>
      </c>
      <c r="H101" s="53" t="s">
        <v>25</v>
      </c>
      <c r="I101" s="74">
        <v>44531</v>
      </c>
      <c r="J101" s="75">
        <f>EFEITO!$J$101*EFEITO!$Y$101</f>
        <v>0</v>
      </c>
      <c r="K101" s="75">
        <f ca="1">EFEITO!$L$101*EFEITO!$Z$101</f>
        <v>4734.2346486858314</v>
      </c>
      <c r="L101" s="75">
        <f>EFEITO!$N$101*EFEITO!$AA$101</f>
        <v>1021.4956292353353</v>
      </c>
      <c r="M101" s="75">
        <f>$J$101-EFEITO!$K$101*EFEITO!$Y$101</f>
        <v>0</v>
      </c>
      <c r="N101" s="75">
        <f ca="1">$K$101-EFEITO!$M$101*EFEITO!$Z$101</f>
        <v>0</v>
      </c>
      <c r="O101" s="75">
        <f>$L$101-EFEITO!$O$101*EFEITO!$AA$101</f>
        <v>0</v>
      </c>
      <c r="P101" s="57"/>
      <c r="Q101" s="57"/>
      <c r="R101" s="57"/>
      <c r="S101" s="57"/>
      <c r="T101" s="57"/>
      <c r="U101" s="57"/>
      <c r="V101" s="57"/>
      <c r="W101" s="57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53" t="s">
        <v>21</v>
      </c>
      <c r="B102" s="53" t="s">
        <v>22</v>
      </c>
      <c r="C102" s="53" t="s">
        <v>23</v>
      </c>
      <c r="D102" s="53" t="s">
        <v>24</v>
      </c>
      <c r="E102" s="53" t="s">
        <v>24</v>
      </c>
      <c r="F102" s="53" t="s">
        <v>25</v>
      </c>
      <c r="G102" s="53" t="s">
        <v>25</v>
      </c>
      <c r="H102" s="53" t="s">
        <v>25</v>
      </c>
      <c r="I102" s="74">
        <v>44562</v>
      </c>
      <c r="J102" s="75">
        <f>EFEITO!$J$102*EFEITO!$Y$102</f>
        <v>0</v>
      </c>
      <c r="K102" s="75">
        <f ca="1">EFEITO!$L$102*EFEITO!$Z$102</f>
        <v>828244.09637212276</v>
      </c>
      <c r="L102" s="75">
        <f>EFEITO!$N$102*EFEITO!$AA$102</f>
        <v>178708.4475457815</v>
      </c>
      <c r="M102" s="75">
        <f>$J$102-EFEITO!$K$102*EFEITO!$Y$102</f>
        <v>0</v>
      </c>
      <c r="N102" s="75">
        <f ca="1">$K$102-EFEITO!$M$102*EFEITO!$Z$102</f>
        <v>0</v>
      </c>
      <c r="O102" s="75">
        <f>$L$102-EFEITO!$O$102*EFEITO!$AA$102</f>
        <v>0</v>
      </c>
      <c r="P102" s="57"/>
      <c r="Q102" s="57"/>
      <c r="R102" s="57"/>
      <c r="S102" s="57"/>
      <c r="T102" s="57"/>
      <c r="U102" s="57"/>
      <c r="V102" s="57"/>
      <c r="W102" s="57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53" t="s">
        <v>27</v>
      </c>
      <c r="B103" s="53" t="s">
        <v>22</v>
      </c>
      <c r="C103" s="53" t="s">
        <v>23</v>
      </c>
      <c r="D103" s="53" t="s">
        <v>24</v>
      </c>
      <c r="E103" s="53" t="s">
        <v>24</v>
      </c>
      <c r="F103" s="53" t="s">
        <v>25</v>
      </c>
      <c r="G103" s="53" t="s">
        <v>25</v>
      </c>
      <c r="H103" s="53" t="s">
        <v>25</v>
      </c>
      <c r="I103" s="74">
        <v>44562</v>
      </c>
      <c r="J103" s="75">
        <f>EFEITO!$J$103*EFEITO!$Y$103</f>
        <v>0</v>
      </c>
      <c r="K103" s="75">
        <f ca="1">EFEITO!$L$103*EFEITO!$Z$103</f>
        <v>-96.275328841533266</v>
      </c>
      <c r="L103" s="75">
        <f>EFEITO!$N$103*EFEITO!$AA$103</f>
        <v>-20.773120665263228</v>
      </c>
      <c r="M103" s="75">
        <f>$J$103-EFEITO!$K$103*EFEITO!$Y$103</f>
        <v>0</v>
      </c>
      <c r="N103" s="75">
        <f ca="1">$K$103-EFEITO!$M$103*EFEITO!$Z$103</f>
        <v>0</v>
      </c>
      <c r="O103" s="75">
        <f>$L$103-EFEITO!$O$103*EFEITO!$AA$103</f>
        <v>0</v>
      </c>
      <c r="P103" s="57"/>
      <c r="Q103" s="57"/>
      <c r="R103" s="57"/>
      <c r="S103" s="57"/>
      <c r="T103" s="57"/>
      <c r="U103" s="57"/>
      <c r="V103" s="57"/>
      <c r="W103" s="57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53" t="s">
        <v>28</v>
      </c>
      <c r="B104" s="53" t="s">
        <v>22</v>
      </c>
      <c r="C104" s="53" t="s">
        <v>23</v>
      </c>
      <c r="D104" s="53" t="s">
        <v>24</v>
      </c>
      <c r="E104" s="53" t="s">
        <v>24</v>
      </c>
      <c r="F104" s="53" t="s">
        <v>25</v>
      </c>
      <c r="G104" s="53" t="s">
        <v>25</v>
      </c>
      <c r="H104" s="53" t="s">
        <v>25</v>
      </c>
      <c r="I104" s="74">
        <v>44562</v>
      </c>
      <c r="J104" s="75">
        <f>EFEITO!$J$104*EFEITO!$Y$104</f>
        <v>0</v>
      </c>
      <c r="K104" s="75">
        <f ca="1">EFEITO!$L$104*EFEITO!$Z$104</f>
        <v>7024.9595925349222</v>
      </c>
      <c r="L104" s="75">
        <f>EFEITO!$N$104*EFEITO!$AA$104</f>
        <v>1515.7604241946963</v>
      </c>
      <c r="M104" s="75">
        <f>$J$104-EFEITO!$K$104*EFEITO!$Y$104</f>
        <v>0</v>
      </c>
      <c r="N104" s="75">
        <f ca="1">$K$104-EFEITO!$M$104*EFEITO!$Z$104</f>
        <v>0</v>
      </c>
      <c r="O104" s="75">
        <f>$L$104-EFEITO!$O$104*EFEITO!$AA$104</f>
        <v>0</v>
      </c>
      <c r="P104" s="57"/>
      <c r="Q104" s="57"/>
      <c r="R104" s="57"/>
      <c r="S104" s="57"/>
      <c r="T104" s="57"/>
      <c r="U104" s="57"/>
      <c r="V104" s="57"/>
      <c r="W104" s="57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53" t="s">
        <v>21</v>
      </c>
      <c r="B105" s="53" t="s">
        <v>22</v>
      </c>
      <c r="C105" s="53" t="s">
        <v>23</v>
      </c>
      <c r="D105" s="53" t="s">
        <v>24</v>
      </c>
      <c r="E105" s="53" t="s">
        <v>24</v>
      </c>
      <c r="F105" s="53" t="s">
        <v>25</v>
      </c>
      <c r="G105" s="53" t="s">
        <v>25</v>
      </c>
      <c r="H105" s="53" t="s">
        <v>25</v>
      </c>
      <c r="I105" s="74">
        <v>44593</v>
      </c>
      <c r="J105" s="75">
        <f>EFEITO!$J$105*EFEITO!$Y$105</f>
        <v>0</v>
      </c>
      <c r="K105" s="75">
        <f ca="1">EFEITO!$L$105*EFEITO!$Z$105</f>
        <v>805358.82282391086</v>
      </c>
      <c r="L105" s="75">
        <f>EFEITO!$N$105*EFEITO!$AA$105</f>
        <v>173770.5412867745</v>
      </c>
      <c r="M105" s="75">
        <f>$J$105-EFEITO!$K$105*EFEITO!$Y$105</f>
        <v>0</v>
      </c>
      <c r="N105" s="75">
        <f ca="1">$K$105-EFEITO!$M$105*EFEITO!$Z$105</f>
        <v>0</v>
      </c>
      <c r="O105" s="75">
        <f>$L$105-EFEITO!$O$105*EFEITO!$AA$105</f>
        <v>0</v>
      </c>
      <c r="P105" s="57"/>
      <c r="Q105" s="57"/>
      <c r="R105" s="57"/>
      <c r="S105" s="57"/>
      <c r="T105" s="57"/>
      <c r="U105" s="57"/>
      <c r="V105" s="57"/>
      <c r="W105" s="57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53" t="s">
        <v>27</v>
      </c>
      <c r="B106" s="53" t="s">
        <v>22</v>
      </c>
      <c r="C106" s="53" t="s">
        <v>23</v>
      </c>
      <c r="D106" s="53" t="s">
        <v>24</v>
      </c>
      <c r="E106" s="53" t="s">
        <v>24</v>
      </c>
      <c r="F106" s="53" t="s">
        <v>25</v>
      </c>
      <c r="G106" s="53" t="s">
        <v>25</v>
      </c>
      <c r="H106" s="53" t="s">
        <v>25</v>
      </c>
      <c r="I106" s="74">
        <v>44593</v>
      </c>
      <c r="J106" s="75">
        <f>EFEITO!$J$106*EFEITO!$Y$106</f>
        <v>0</v>
      </c>
      <c r="K106" s="75">
        <f ca="1">EFEITO!$L$106*EFEITO!$Z$106</f>
        <v>-168.48182547268323</v>
      </c>
      <c r="L106" s="75">
        <f>EFEITO!$N$106*EFEITO!$AA$106</f>
        <v>-36.352961164210647</v>
      </c>
      <c r="M106" s="75">
        <f>$J$106-EFEITO!$K$106*EFEITO!$Y$106</f>
        <v>0</v>
      </c>
      <c r="N106" s="75">
        <f ca="1">$K$106-EFEITO!$M$106*EFEITO!$Z$106</f>
        <v>0</v>
      </c>
      <c r="O106" s="75">
        <f>$L$106-EFEITO!$O$106*EFEITO!$AA$106</f>
        <v>0</v>
      </c>
      <c r="P106" s="57"/>
      <c r="Q106" s="57"/>
      <c r="R106" s="57"/>
      <c r="S106" s="57"/>
      <c r="T106" s="57"/>
      <c r="U106" s="57"/>
      <c r="V106" s="57"/>
      <c r="W106" s="57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53" t="s">
        <v>28</v>
      </c>
      <c r="B107" s="53" t="s">
        <v>22</v>
      </c>
      <c r="C107" s="53" t="s">
        <v>23</v>
      </c>
      <c r="D107" s="53" t="s">
        <v>24</v>
      </c>
      <c r="E107" s="53" t="s">
        <v>24</v>
      </c>
      <c r="F107" s="53" t="s">
        <v>25</v>
      </c>
      <c r="G107" s="53" t="s">
        <v>25</v>
      </c>
      <c r="H107" s="53" t="s">
        <v>25</v>
      </c>
      <c r="I107" s="74">
        <v>44593</v>
      </c>
      <c r="J107" s="75">
        <f>EFEITO!$J$107*EFEITO!$Y$107</f>
        <v>0</v>
      </c>
      <c r="K107" s="75">
        <f ca="1">EFEITO!$L$107*EFEITO!$Z$107</f>
        <v>4822.138209802014</v>
      </c>
      <c r="L107" s="75">
        <f>EFEITO!$N$107*EFEITO!$AA$107</f>
        <v>1040.46239158188</v>
      </c>
      <c r="M107" s="75">
        <f>$J$107-EFEITO!$K$107*EFEITO!$Y$107</f>
        <v>0</v>
      </c>
      <c r="N107" s="75">
        <f ca="1">$K$107-EFEITO!$M$107*EFEITO!$Z$107</f>
        <v>0</v>
      </c>
      <c r="O107" s="75">
        <f>$L$107-EFEITO!$O$107*EFEITO!$AA$107</f>
        <v>0</v>
      </c>
      <c r="P107" s="57"/>
      <c r="Q107" s="57"/>
      <c r="R107" s="57"/>
      <c r="S107" s="57"/>
      <c r="T107" s="57"/>
      <c r="U107" s="57"/>
      <c r="V107" s="57"/>
      <c r="W107" s="57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53" t="s">
        <v>21</v>
      </c>
      <c r="B108" s="53" t="s">
        <v>22</v>
      </c>
      <c r="C108" s="53" t="s">
        <v>23</v>
      </c>
      <c r="D108" s="53" t="s">
        <v>24</v>
      </c>
      <c r="E108" s="53" t="s">
        <v>24</v>
      </c>
      <c r="F108" s="53" t="s">
        <v>25</v>
      </c>
      <c r="G108" s="53" t="s">
        <v>25</v>
      </c>
      <c r="H108" s="53" t="s">
        <v>25</v>
      </c>
      <c r="I108" s="74">
        <v>44621</v>
      </c>
      <c r="J108" s="75">
        <f>EFEITO!$J$108*EFEITO!$Y$108</f>
        <v>0</v>
      </c>
      <c r="K108" s="75">
        <f ca="1">EFEITO!$L$108*EFEITO!$Z$108</f>
        <v>805731.36648768897</v>
      </c>
      <c r="L108" s="75">
        <f>EFEITO!$N$108*EFEITO!$AA$108</f>
        <v>173850.92423195747</v>
      </c>
      <c r="M108" s="75">
        <f>$J$108-EFEITO!$K$108*EFEITO!$Y$108</f>
        <v>0</v>
      </c>
      <c r="N108" s="75">
        <f ca="1">$K$108-EFEITO!$M$108*EFEITO!$Z$108</f>
        <v>0</v>
      </c>
      <c r="O108" s="75">
        <f>$L$108-EFEITO!$O$108*EFEITO!$AA$108</f>
        <v>0</v>
      </c>
      <c r="P108" s="57"/>
      <c r="Q108" s="57"/>
      <c r="R108" s="57"/>
      <c r="S108" s="57"/>
      <c r="T108" s="57"/>
      <c r="U108" s="57"/>
      <c r="V108" s="57"/>
      <c r="W108" s="57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53" t="s">
        <v>27</v>
      </c>
      <c r="B109" s="53" t="s">
        <v>22</v>
      </c>
      <c r="C109" s="53" t="s">
        <v>23</v>
      </c>
      <c r="D109" s="53" t="s">
        <v>24</v>
      </c>
      <c r="E109" s="53" t="s">
        <v>24</v>
      </c>
      <c r="F109" s="53" t="s">
        <v>25</v>
      </c>
      <c r="G109" s="53" t="s">
        <v>25</v>
      </c>
      <c r="H109" s="53" t="s">
        <v>25</v>
      </c>
      <c r="I109" s="74">
        <v>44621</v>
      </c>
      <c r="J109" s="75">
        <f>EFEITO!$J$109*EFEITO!$Y$109</f>
        <v>0</v>
      </c>
      <c r="K109" s="75">
        <f ca="1">EFEITO!$L$109*EFEITO!$Z$109</f>
        <v>-496.02723772703007</v>
      </c>
      <c r="L109" s="75">
        <f>EFEITO!$N$109*EFEITO!$AA$109</f>
        <v>-107.02673038407359</v>
      </c>
      <c r="M109" s="75">
        <f>$J$109-EFEITO!$K$109*EFEITO!$Y$109</f>
        <v>0</v>
      </c>
      <c r="N109" s="75">
        <f ca="1">$K$109-EFEITO!$M$109*EFEITO!$Z$109</f>
        <v>0</v>
      </c>
      <c r="O109" s="75">
        <f>$L$109-EFEITO!$O$109*EFEITO!$AA$109</f>
        <v>0</v>
      </c>
      <c r="P109" s="57"/>
      <c r="Q109" s="57"/>
      <c r="R109" s="57"/>
      <c r="S109" s="57"/>
      <c r="T109" s="57"/>
      <c r="U109" s="57"/>
      <c r="V109" s="57"/>
      <c r="W109" s="57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53" t="s">
        <v>28</v>
      </c>
      <c r="B110" s="53" t="s">
        <v>22</v>
      </c>
      <c r="C110" s="53" t="s">
        <v>23</v>
      </c>
      <c r="D110" s="53" t="s">
        <v>24</v>
      </c>
      <c r="E110" s="53" t="s">
        <v>24</v>
      </c>
      <c r="F110" s="53" t="s">
        <v>25</v>
      </c>
      <c r="G110" s="53" t="s">
        <v>25</v>
      </c>
      <c r="H110" s="53" t="s">
        <v>25</v>
      </c>
      <c r="I110" s="74">
        <v>44621</v>
      </c>
      <c r="J110" s="75">
        <f>EFEITO!$J$110*EFEITO!$Y$110</f>
        <v>0</v>
      </c>
      <c r="K110" s="75">
        <f ca="1">EFEITO!$L$110*EFEITO!$Z$110</f>
        <v>4094.8408886621701</v>
      </c>
      <c r="L110" s="75">
        <f>EFEITO!$N$110*EFEITO!$AA$110</f>
        <v>883.53501264320664</v>
      </c>
      <c r="M110" s="75">
        <f>$J$110-EFEITO!$K$110*EFEITO!$Y$110</f>
        <v>0</v>
      </c>
      <c r="N110" s="75">
        <f ca="1">$K$110-EFEITO!$M$110*EFEITO!$Z$110</f>
        <v>0</v>
      </c>
      <c r="O110" s="75">
        <f>$L$110-EFEITO!$O$110*EFEITO!$AA$110</f>
        <v>0</v>
      </c>
      <c r="P110" s="57"/>
      <c r="Q110" s="57"/>
      <c r="R110" s="57"/>
      <c r="S110" s="57"/>
      <c r="T110" s="57"/>
      <c r="U110" s="57"/>
      <c r="V110" s="57"/>
      <c r="W110" s="57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53" t="s">
        <v>21</v>
      </c>
      <c r="B111" s="53" t="s">
        <v>22</v>
      </c>
      <c r="C111" s="53" t="s">
        <v>23</v>
      </c>
      <c r="D111" s="53" t="s">
        <v>24</v>
      </c>
      <c r="E111" s="53" t="s">
        <v>29</v>
      </c>
      <c r="F111" s="53" t="s">
        <v>25</v>
      </c>
      <c r="G111" s="53" t="s">
        <v>25</v>
      </c>
      <c r="H111" s="53" t="s">
        <v>25</v>
      </c>
      <c r="I111" s="74">
        <v>44287</v>
      </c>
      <c r="J111" s="75">
        <f>EFEITO!$J$111*EFEITO!$Y$74</f>
        <v>0</v>
      </c>
      <c r="K111" s="75">
        <f ca="1">EFEITO!$L$111*EFEITO!$Z$151</f>
        <v>1710.5509587237302</v>
      </c>
      <c r="L111" s="75">
        <f>EFEITO!$N$111*EFEITO!$AA$151</f>
        <v>426.75215279725541</v>
      </c>
      <c r="M111" s="75">
        <f>$J$111-EFEITO!$K$111*EFEITO!$Y$111</f>
        <v>0</v>
      </c>
      <c r="N111" s="75">
        <f ca="1">$K$111-EFEITO!$M$111*EFEITO!$Z$111</f>
        <v>1111.8581231704247</v>
      </c>
      <c r="O111" s="75">
        <f>$L$111-EFEITO!$O$111*EFEITO!$AA$111</f>
        <v>277.38889931821598</v>
      </c>
      <c r="P111" s="57"/>
      <c r="Q111" s="57"/>
      <c r="R111" s="57"/>
      <c r="S111" s="57"/>
      <c r="T111" s="57"/>
      <c r="U111" s="57"/>
      <c r="V111" s="57"/>
      <c r="W111" s="57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53" t="s">
        <v>21</v>
      </c>
      <c r="B112" s="53" t="s">
        <v>22</v>
      </c>
      <c r="C112" s="53" t="s">
        <v>23</v>
      </c>
      <c r="D112" s="53" t="s">
        <v>24</v>
      </c>
      <c r="E112" s="53" t="s">
        <v>29</v>
      </c>
      <c r="F112" s="53" t="s">
        <v>25</v>
      </c>
      <c r="G112" s="53" t="s">
        <v>25</v>
      </c>
      <c r="H112" s="53" t="s">
        <v>25</v>
      </c>
      <c r="I112" s="74">
        <v>44317</v>
      </c>
      <c r="J112" s="75">
        <f>EFEITO!$J$112*EFEITO!$Y$74</f>
        <v>0</v>
      </c>
      <c r="K112" s="75">
        <f ca="1">EFEITO!$L$112*EFEITO!$Z$151</f>
        <v>1846.3089713208517</v>
      </c>
      <c r="L112" s="75">
        <f>EFEITO!$N$112*EFEITO!$AA$151</f>
        <v>460.62137127322814</v>
      </c>
      <c r="M112" s="75">
        <f>$J$112-EFEITO!$K$112*EFEITO!$Y$112</f>
        <v>0</v>
      </c>
      <c r="N112" s="75">
        <f ca="1">$K$112-EFEITO!$M$112*EFEITO!$Z$112</f>
        <v>1200.1008313585537</v>
      </c>
      <c r="O112" s="75">
        <f>$L$112-EFEITO!$O$112*EFEITO!$AA$112</f>
        <v>299.40389132759833</v>
      </c>
      <c r="P112" s="57"/>
      <c r="Q112" s="57"/>
      <c r="R112" s="57"/>
      <c r="S112" s="57"/>
      <c r="T112" s="57"/>
      <c r="U112" s="57"/>
      <c r="V112" s="57"/>
      <c r="W112" s="57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53" t="s">
        <v>21</v>
      </c>
      <c r="B113" s="53" t="s">
        <v>22</v>
      </c>
      <c r="C113" s="53" t="s">
        <v>23</v>
      </c>
      <c r="D113" s="53" t="s">
        <v>24</v>
      </c>
      <c r="E113" s="53" t="s">
        <v>29</v>
      </c>
      <c r="F113" s="53" t="s">
        <v>25</v>
      </c>
      <c r="G113" s="53" t="s">
        <v>25</v>
      </c>
      <c r="H113" s="53" t="s">
        <v>25</v>
      </c>
      <c r="I113" s="74">
        <v>44348</v>
      </c>
      <c r="J113" s="75">
        <f>EFEITO!$J$113*EFEITO!$Y$74</f>
        <v>0</v>
      </c>
      <c r="K113" s="75">
        <f ca="1">EFEITO!$L$113*EFEITO!$Z$151</f>
        <v>1954.915381398549</v>
      </c>
      <c r="L113" s="75">
        <f>EFEITO!$N$113*EFEITO!$AA$151</f>
        <v>487.71674605400625</v>
      </c>
      <c r="M113" s="75">
        <f>$J$113-EFEITO!$K$113*EFEITO!$Y$113</f>
        <v>0</v>
      </c>
      <c r="N113" s="75">
        <f ca="1">$K$113-EFEITO!$M$113*EFEITO!$Z$113</f>
        <v>1270.6949979090568</v>
      </c>
      <c r="O113" s="75">
        <f>$L$113-EFEITO!$O$113*EFEITO!$AA$113</f>
        <v>317.01588493510405</v>
      </c>
      <c r="P113" s="57"/>
      <c r="Q113" s="57"/>
      <c r="R113" s="57"/>
      <c r="S113" s="57"/>
      <c r="T113" s="57"/>
      <c r="U113" s="57"/>
      <c r="V113" s="57"/>
      <c r="W113" s="57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53" t="s">
        <v>21</v>
      </c>
      <c r="B114" s="53" t="s">
        <v>22</v>
      </c>
      <c r="C114" s="53" t="s">
        <v>23</v>
      </c>
      <c r="D114" s="53" t="s">
        <v>24</v>
      </c>
      <c r="E114" s="53" t="s">
        <v>29</v>
      </c>
      <c r="F114" s="53" t="s">
        <v>25</v>
      </c>
      <c r="G114" s="53" t="s">
        <v>25</v>
      </c>
      <c r="H114" s="53" t="s">
        <v>25</v>
      </c>
      <c r="I114" s="74">
        <v>44378</v>
      </c>
      <c r="J114" s="75">
        <f>EFEITO!$J$114*EFEITO!$Y$74</f>
        <v>0</v>
      </c>
      <c r="K114" s="75">
        <f ca="1">EFEITO!$L$114*EFEITO!$Z$151</f>
        <v>2009.2185864373976</v>
      </c>
      <c r="L114" s="75">
        <f>EFEITO!$N$114*EFEITO!$AA$151</f>
        <v>501.26443344439531</v>
      </c>
      <c r="M114" s="75">
        <f>$J$114-EFEITO!$K$114*EFEITO!$Y$114</f>
        <v>0</v>
      </c>
      <c r="N114" s="75">
        <f ca="1">$K$114-EFEITO!$M$114*EFEITO!$Z$114</f>
        <v>1305.9920811843085</v>
      </c>
      <c r="O114" s="75">
        <f>$L$114-EFEITO!$O$114*EFEITO!$AA$114</f>
        <v>325.82188173885697</v>
      </c>
      <c r="P114" s="57"/>
      <c r="Q114" s="57"/>
      <c r="R114" s="57"/>
      <c r="S114" s="57"/>
      <c r="T114" s="57"/>
      <c r="U114" s="57"/>
      <c r="V114" s="57"/>
      <c r="W114" s="57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53" t="s">
        <v>21</v>
      </c>
      <c r="B115" s="53" t="s">
        <v>22</v>
      </c>
      <c r="C115" s="53" t="s">
        <v>23</v>
      </c>
      <c r="D115" s="53" t="s">
        <v>24</v>
      </c>
      <c r="E115" s="53" t="s">
        <v>29</v>
      </c>
      <c r="F115" s="53" t="s">
        <v>25</v>
      </c>
      <c r="G115" s="53" t="s">
        <v>25</v>
      </c>
      <c r="H115" s="53" t="s">
        <v>25</v>
      </c>
      <c r="I115" s="74">
        <v>44409</v>
      </c>
      <c r="J115" s="75">
        <f>EFEITO!$J$115*EFEITO!$Y$74</f>
        <v>0</v>
      </c>
      <c r="K115" s="75">
        <f ca="1">EFEITO!$L$115*EFEITO!$Z$151</f>
        <v>2036.3701889568217</v>
      </c>
      <c r="L115" s="75">
        <f>EFEITO!$N$115*EFEITO!$AA$151</f>
        <v>508.03827713958981</v>
      </c>
      <c r="M115" s="75">
        <f>$J$115-EFEITO!$K$115*EFEITO!$Y$115</f>
        <v>0</v>
      </c>
      <c r="N115" s="75">
        <f ca="1">$K$115-EFEITO!$M$115*EFEITO!$Z$115</f>
        <v>1323.6406228219344</v>
      </c>
      <c r="O115" s="75">
        <f>$L$115-EFEITO!$O$115*EFEITO!$AA$115</f>
        <v>330.22488014073338</v>
      </c>
      <c r="P115" s="57"/>
      <c r="Q115" s="57"/>
      <c r="R115" s="57"/>
      <c r="S115" s="57"/>
      <c r="T115" s="57"/>
      <c r="U115" s="57"/>
      <c r="V115" s="57"/>
      <c r="W115" s="57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53" t="s">
        <v>21</v>
      </c>
      <c r="B116" s="53" t="s">
        <v>22</v>
      </c>
      <c r="C116" s="53" t="s">
        <v>23</v>
      </c>
      <c r="D116" s="53" t="s">
        <v>24</v>
      </c>
      <c r="E116" s="53" t="s">
        <v>29</v>
      </c>
      <c r="F116" s="53" t="s">
        <v>25</v>
      </c>
      <c r="G116" s="53" t="s">
        <v>25</v>
      </c>
      <c r="H116" s="53" t="s">
        <v>25</v>
      </c>
      <c r="I116" s="74">
        <v>44440</v>
      </c>
      <c r="J116" s="75">
        <f>EFEITO!$J$116*EFEITO!$Y$74</f>
        <v>0</v>
      </c>
      <c r="K116" s="75">
        <f ca="1">EFEITO!$L$116*EFEITO!$Z$151</f>
        <v>2117.8249965150944</v>
      </c>
      <c r="L116" s="75">
        <f>EFEITO!$N$116*EFEITO!$AA$151</f>
        <v>528.35980822517342</v>
      </c>
      <c r="M116" s="75">
        <f>$J$116-EFEITO!$K$116*EFEITO!$Y$116</f>
        <v>0</v>
      </c>
      <c r="N116" s="75">
        <f ca="1">$K$116-EFEITO!$M$116*EFEITO!$Z$116</f>
        <v>1376.5862477348114</v>
      </c>
      <c r="O116" s="75">
        <f>$L$116-EFEITO!$O$116*EFEITO!$AA$116</f>
        <v>343.43387534636275</v>
      </c>
      <c r="P116" s="57"/>
      <c r="Q116" s="57"/>
      <c r="R116" s="57"/>
      <c r="S116" s="57"/>
      <c r="T116" s="57"/>
      <c r="U116" s="57"/>
      <c r="V116" s="57"/>
      <c r="W116" s="57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53" t="s">
        <v>21</v>
      </c>
      <c r="B117" s="53" t="s">
        <v>22</v>
      </c>
      <c r="C117" s="53" t="s">
        <v>23</v>
      </c>
      <c r="D117" s="53" t="s">
        <v>24</v>
      </c>
      <c r="E117" s="53" t="s">
        <v>29</v>
      </c>
      <c r="F117" s="53" t="s">
        <v>25</v>
      </c>
      <c r="G117" s="53" t="s">
        <v>25</v>
      </c>
      <c r="H117" s="53" t="s">
        <v>25</v>
      </c>
      <c r="I117" s="74">
        <v>44470</v>
      </c>
      <c r="J117" s="75">
        <f>EFEITO!$J$117*EFEITO!$Y$74</f>
        <v>0</v>
      </c>
      <c r="K117" s="75">
        <f ca="1">EFEITO!$L$117*EFEITO!$Z$151</f>
        <v>2253.5830091122161</v>
      </c>
      <c r="L117" s="75">
        <f>EFEITO!$N$117*EFEITO!$AA$151</f>
        <v>562.22902670114615</v>
      </c>
      <c r="M117" s="75">
        <f>$J$117-EFEITO!$K$117*EFEITO!$Y$117</f>
        <v>0</v>
      </c>
      <c r="N117" s="75">
        <f ca="1">$K$117-EFEITO!$M$117*EFEITO!$Z$117</f>
        <v>1464.8289559229406</v>
      </c>
      <c r="O117" s="75">
        <f>$L$117-EFEITO!$O$117*EFEITO!$AA$117</f>
        <v>365.44886735574505</v>
      </c>
      <c r="P117" s="57"/>
      <c r="Q117" s="57"/>
      <c r="R117" s="57"/>
      <c r="S117" s="57"/>
      <c r="T117" s="57"/>
      <c r="U117" s="57"/>
      <c r="V117" s="57"/>
      <c r="W117" s="57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53" t="s">
        <v>21</v>
      </c>
      <c r="B118" s="53" t="s">
        <v>22</v>
      </c>
      <c r="C118" s="53" t="s">
        <v>23</v>
      </c>
      <c r="D118" s="53" t="s">
        <v>24</v>
      </c>
      <c r="E118" s="53" t="s">
        <v>29</v>
      </c>
      <c r="F118" s="53" t="s">
        <v>25</v>
      </c>
      <c r="G118" s="53" t="s">
        <v>25</v>
      </c>
      <c r="H118" s="53" t="s">
        <v>25</v>
      </c>
      <c r="I118" s="74">
        <v>44501</v>
      </c>
      <c r="J118" s="75">
        <f>EFEITO!$J$118*EFEITO!$Y$74</f>
        <v>0</v>
      </c>
      <c r="K118" s="75">
        <f ca="1">EFEITO!$L$118*EFEITO!$Z$151</f>
        <v>2443.6442267481862</v>
      </c>
      <c r="L118" s="75">
        <f>EFEITO!$N$118*EFEITO!$AA$151</f>
        <v>609.64593256750777</v>
      </c>
      <c r="M118" s="75">
        <f>$J$118-EFEITO!$K$118*EFEITO!$Y$118</f>
        <v>0</v>
      </c>
      <c r="N118" s="75">
        <f ca="1">$K$118-EFEITO!$M$118*EFEITO!$Z$118</f>
        <v>1588.368747386321</v>
      </c>
      <c r="O118" s="75">
        <f>$L$118-EFEITO!$O$118*EFEITO!$AA$118</f>
        <v>396.26985616888004</v>
      </c>
      <c r="P118" s="57"/>
      <c r="Q118" s="57"/>
      <c r="R118" s="57"/>
      <c r="S118" s="57"/>
      <c r="T118" s="57"/>
      <c r="U118" s="57"/>
      <c r="V118" s="57"/>
      <c r="W118" s="57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53" t="s">
        <v>21</v>
      </c>
      <c r="B119" s="53" t="s">
        <v>22</v>
      </c>
      <c r="C119" s="53" t="s">
        <v>23</v>
      </c>
      <c r="D119" s="53" t="s">
        <v>24</v>
      </c>
      <c r="E119" s="53" t="s">
        <v>29</v>
      </c>
      <c r="F119" s="53" t="s">
        <v>25</v>
      </c>
      <c r="G119" s="53" t="s">
        <v>25</v>
      </c>
      <c r="H119" s="53" t="s">
        <v>25</v>
      </c>
      <c r="I119" s="74">
        <v>44531</v>
      </c>
      <c r="J119" s="75">
        <f>EFEITO!$J$119*EFEITO!$Y$74</f>
        <v>0</v>
      </c>
      <c r="K119" s="75">
        <f ca="1">EFEITO!$L$119*EFEITO!$Z$151</f>
        <v>2470.7958292676103</v>
      </c>
      <c r="L119" s="75">
        <f>EFEITO!$N$119*EFEITO!$AA$151</f>
        <v>616.41977626270227</v>
      </c>
      <c r="M119" s="75">
        <f>$J$119-EFEITO!$K$119*EFEITO!$Y$119</f>
        <v>0</v>
      </c>
      <c r="N119" s="75">
        <f ca="1">$K$119-EFEITO!$M$119*EFEITO!$Z$119</f>
        <v>1606.0172890239469</v>
      </c>
      <c r="O119" s="75">
        <f>$L$119-EFEITO!$O$119*EFEITO!$AA$119</f>
        <v>400.6728545707565</v>
      </c>
      <c r="P119" s="57"/>
      <c r="Q119" s="57"/>
      <c r="R119" s="57"/>
      <c r="S119" s="57"/>
      <c r="T119" s="57"/>
      <c r="U119" s="57"/>
      <c r="V119" s="57"/>
      <c r="W119" s="57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53" t="s">
        <v>21</v>
      </c>
      <c r="B120" s="53" t="s">
        <v>22</v>
      </c>
      <c r="C120" s="53" t="s">
        <v>23</v>
      </c>
      <c r="D120" s="53" t="s">
        <v>24</v>
      </c>
      <c r="E120" s="53" t="s">
        <v>29</v>
      </c>
      <c r="F120" s="53" t="s">
        <v>25</v>
      </c>
      <c r="G120" s="53" t="s">
        <v>25</v>
      </c>
      <c r="H120" s="53" t="s">
        <v>25</v>
      </c>
      <c r="I120" s="74">
        <v>44562</v>
      </c>
      <c r="J120" s="75">
        <f>EFEITO!$J$120*EFEITO!$Y$74</f>
        <v>0</v>
      </c>
      <c r="K120" s="75">
        <f ca="1">EFEITO!$L$120*EFEITO!$Z$151</f>
        <v>2688.008649423005</v>
      </c>
      <c r="L120" s="75">
        <f>EFEITO!$N$120*EFEITO!$AA$151</f>
        <v>670.61052582425862</v>
      </c>
      <c r="M120" s="75">
        <f>$J$120-EFEITO!$K$120*EFEITO!$Y$120</f>
        <v>0</v>
      </c>
      <c r="N120" s="75">
        <f ca="1">$K$120-EFEITO!$M$120*EFEITO!$Z$120</f>
        <v>1747.2056221249534</v>
      </c>
      <c r="O120" s="75">
        <f>$L$120-EFEITO!$O$120*EFEITO!$AA$120</f>
        <v>435.89684178576812</v>
      </c>
      <c r="P120" s="57"/>
      <c r="Q120" s="57"/>
      <c r="R120" s="57"/>
      <c r="S120" s="57"/>
      <c r="T120" s="57"/>
      <c r="U120" s="57"/>
      <c r="V120" s="57"/>
      <c r="W120" s="57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53" t="s">
        <v>21</v>
      </c>
      <c r="B121" s="53" t="s">
        <v>22</v>
      </c>
      <c r="C121" s="53" t="s">
        <v>23</v>
      </c>
      <c r="D121" s="53" t="s">
        <v>24</v>
      </c>
      <c r="E121" s="53" t="s">
        <v>29</v>
      </c>
      <c r="F121" s="53" t="s">
        <v>25</v>
      </c>
      <c r="G121" s="53" t="s">
        <v>25</v>
      </c>
      <c r="H121" s="53" t="s">
        <v>25</v>
      </c>
      <c r="I121" s="74">
        <v>44593</v>
      </c>
      <c r="J121" s="75">
        <f>EFEITO!$J$121*EFEITO!$Y$74</f>
        <v>0</v>
      </c>
      <c r="K121" s="75">
        <f ca="1">EFEITO!$L$121*EFEITO!$Z$151</f>
        <v>3040.9794821755204</v>
      </c>
      <c r="L121" s="75">
        <f>EFEITO!$N$121*EFEITO!$AA$151</f>
        <v>758.67049386178746</v>
      </c>
      <c r="M121" s="75">
        <f>$J$121-EFEITO!$K$121*EFEITO!$Y$121</f>
        <v>0</v>
      </c>
      <c r="N121" s="75">
        <f ca="1">$K$121-EFEITO!$M$121*EFEITO!$Z$121</f>
        <v>1976.6366634140884</v>
      </c>
      <c r="O121" s="75">
        <f>$L$121-EFEITO!$O$121*EFEITO!$AA$121</f>
        <v>493.13582101016186</v>
      </c>
      <c r="P121" s="57"/>
      <c r="Q121" s="57"/>
      <c r="R121" s="57"/>
      <c r="S121" s="57"/>
      <c r="T121" s="57"/>
      <c r="U121" s="57"/>
      <c r="V121" s="57"/>
      <c r="W121" s="57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53" t="s">
        <v>21</v>
      </c>
      <c r="B122" s="53" t="s">
        <v>22</v>
      </c>
      <c r="C122" s="53" t="s">
        <v>23</v>
      </c>
      <c r="D122" s="53" t="s">
        <v>24</v>
      </c>
      <c r="E122" s="53" t="s">
        <v>29</v>
      </c>
      <c r="F122" s="53" t="s">
        <v>25</v>
      </c>
      <c r="G122" s="53" t="s">
        <v>25</v>
      </c>
      <c r="H122" s="53" t="s">
        <v>25</v>
      </c>
      <c r="I122" s="74">
        <v>44621</v>
      </c>
      <c r="J122" s="75">
        <f>EFEITO!$J$122*EFEITO!$Y$74</f>
        <v>0</v>
      </c>
      <c r="K122" s="75">
        <f ca="1">EFEITO!$L$122*EFEITO!$Z$151</f>
        <v>6896.5070399337692</v>
      </c>
      <c r="L122" s="75">
        <f>EFEITO!$N$122*EFEITO!$AA$151</f>
        <v>1720.5562985794108</v>
      </c>
      <c r="M122" s="75">
        <f>$J$122-EFEITO!$K$122*EFEITO!$Y$122</f>
        <v>0</v>
      </c>
      <c r="N122" s="75">
        <f ca="1">$K$122-EFEITO!$M$122*EFEITO!$Z$122</f>
        <v>4482.7295759569497</v>
      </c>
      <c r="O122" s="75">
        <f>$L$122-EFEITO!$O$122*EFEITO!$AA$122</f>
        <v>1118.3615940766172</v>
      </c>
      <c r="P122" s="57"/>
      <c r="Q122" s="57"/>
      <c r="R122" s="57"/>
      <c r="S122" s="57"/>
      <c r="T122" s="57"/>
      <c r="U122" s="57"/>
      <c r="V122" s="57"/>
      <c r="W122" s="57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53" t="s">
        <v>21</v>
      </c>
      <c r="B123" s="53" t="s">
        <v>22</v>
      </c>
      <c r="C123" s="53" t="s">
        <v>23</v>
      </c>
      <c r="D123" s="53" t="s">
        <v>24</v>
      </c>
      <c r="E123" s="53" t="s">
        <v>30</v>
      </c>
      <c r="F123" s="53" t="s">
        <v>25</v>
      </c>
      <c r="G123" s="53" t="s">
        <v>25</v>
      </c>
      <c r="H123" s="53" t="s">
        <v>25</v>
      </c>
      <c r="I123" s="74">
        <v>44287</v>
      </c>
      <c r="J123" s="75">
        <f>EFEITO!$J$123*EFEITO!$Y$74</f>
        <v>0</v>
      </c>
      <c r="K123" s="75">
        <f ca="1">EFEITO!$L$123*EFEITO!$Z$151</f>
        <v>3737.8706135074103</v>
      </c>
      <c r="L123" s="75">
        <f>EFEITO!$N$123*EFEITO!$AA$151</f>
        <v>932.53248203844703</v>
      </c>
      <c r="M123" s="75">
        <f>$J$123-EFEITO!$K$123*EFEITO!$Y$123</f>
        <v>0</v>
      </c>
      <c r="N123" s="75">
        <f ca="1">$K$123-EFEITO!$M$123*EFEITO!$Z$123</f>
        <v>1495.1482454029642</v>
      </c>
      <c r="O123" s="75">
        <f>$L$123-EFEITO!$O$123*EFEITO!$AA$123</f>
        <v>373.01299281537888</v>
      </c>
      <c r="P123" s="57"/>
      <c r="Q123" s="57"/>
      <c r="R123" s="57"/>
      <c r="S123" s="57"/>
      <c r="T123" s="57"/>
      <c r="U123" s="57"/>
      <c r="V123" s="57"/>
      <c r="W123" s="57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53" t="s">
        <v>21</v>
      </c>
      <c r="B124" s="53" t="s">
        <v>22</v>
      </c>
      <c r="C124" s="53" t="s">
        <v>23</v>
      </c>
      <c r="D124" s="53" t="s">
        <v>24</v>
      </c>
      <c r="E124" s="53" t="s">
        <v>30</v>
      </c>
      <c r="F124" s="53" t="s">
        <v>25</v>
      </c>
      <c r="G124" s="53" t="s">
        <v>25</v>
      </c>
      <c r="H124" s="53" t="s">
        <v>25</v>
      </c>
      <c r="I124" s="74">
        <v>44317</v>
      </c>
      <c r="J124" s="75">
        <f>EFEITO!$J$124*EFEITO!$Y$74</f>
        <v>0</v>
      </c>
      <c r="K124" s="75">
        <f ca="1">EFEITO!$L$124*EFEITO!$Z$151</f>
        <v>3991.2855703553705</v>
      </c>
      <c r="L124" s="75">
        <f>EFEITO!$N$124*EFEITO!$AA$151</f>
        <v>995.75502319359612</v>
      </c>
      <c r="M124" s="75">
        <f>$J$124-EFEITO!$K$124*EFEITO!$Y$124</f>
        <v>0</v>
      </c>
      <c r="N124" s="75">
        <f ca="1">$K$124-EFEITO!$M$124*EFEITO!$Z$124</f>
        <v>1596.5142281421481</v>
      </c>
      <c r="O124" s="75">
        <f>$L$124-EFEITO!$O$124*EFEITO!$AA$124</f>
        <v>398.30200927743851</v>
      </c>
      <c r="P124" s="57"/>
      <c r="Q124" s="57"/>
      <c r="R124" s="57"/>
      <c r="S124" s="57"/>
      <c r="T124" s="57"/>
      <c r="U124" s="57"/>
      <c r="V124" s="57"/>
      <c r="W124" s="57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53" t="s">
        <v>21</v>
      </c>
      <c r="B125" s="53" t="s">
        <v>22</v>
      </c>
      <c r="C125" s="53" t="s">
        <v>23</v>
      </c>
      <c r="D125" s="53" t="s">
        <v>24</v>
      </c>
      <c r="E125" s="53" t="s">
        <v>30</v>
      </c>
      <c r="F125" s="53" t="s">
        <v>25</v>
      </c>
      <c r="G125" s="53" t="s">
        <v>25</v>
      </c>
      <c r="H125" s="53" t="s">
        <v>25</v>
      </c>
      <c r="I125" s="74">
        <v>44348</v>
      </c>
      <c r="J125" s="75">
        <f>EFEITO!$J$125*EFEITO!$Y$74</f>
        <v>0</v>
      </c>
      <c r="K125" s="75">
        <f ca="1">EFEITO!$L$125*EFEITO!$Z$151</f>
        <v>4230.2196725263047</v>
      </c>
      <c r="L125" s="75">
        <f>EFEITO!$N$125*EFEITO!$AA$151</f>
        <v>1055.3648477113079</v>
      </c>
      <c r="M125" s="75">
        <f>$J$125-EFEITO!$K$125*EFEITO!$Y$125</f>
        <v>0</v>
      </c>
      <c r="N125" s="75">
        <f ca="1">$K$125-EFEITO!$M$125*EFEITO!$Z$125</f>
        <v>1692.0878690105219</v>
      </c>
      <c r="O125" s="75">
        <f>$L$125-EFEITO!$O$125*EFEITO!$AA$125</f>
        <v>422.14593908452321</v>
      </c>
      <c r="P125" s="57"/>
      <c r="Q125" s="57"/>
      <c r="R125" s="57"/>
      <c r="S125" s="57"/>
      <c r="T125" s="57"/>
      <c r="U125" s="57"/>
      <c r="V125" s="57"/>
      <c r="W125" s="57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53" t="s">
        <v>21</v>
      </c>
      <c r="B126" s="53" t="s">
        <v>22</v>
      </c>
      <c r="C126" s="53" t="s">
        <v>23</v>
      </c>
      <c r="D126" s="53" t="s">
        <v>24</v>
      </c>
      <c r="E126" s="53" t="s">
        <v>30</v>
      </c>
      <c r="F126" s="53" t="s">
        <v>25</v>
      </c>
      <c r="G126" s="53" t="s">
        <v>25</v>
      </c>
      <c r="H126" s="53" t="s">
        <v>25</v>
      </c>
      <c r="I126" s="74">
        <v>44378</v>
      </c>
      <c r="J126" s="75">
        <f>EFEITO!$J$126*EFEITO!$Y$74</f>
        <v>0</v>
      </c>
      <c r="K126" s="75">
        <f ca="1">EFEITO!$L$126*EFEITO!$Z$151</f>
        <v>4203.9731234241935</v>
      </c>
      <c r="L126" s="75">
        <f>EFEITO!$N$126*EFEITO!$AA$151</f>
        <v>1048.8167988059531</v>
      </c>
      <c r="M126" s="75">
        <f>$J$126-EFEITO!$K$126*EFEITO!$Y$126</f>
        <v>0</v>
      </c>
      <c r="N126" s="75">
        <f ca="1">$K$126-EFEITO!$M$126*EFEITO!$Z$126</f>
        <v>1681.5892493696774</v>
      </c>
      <c r="O126" s="75">
        <f>$L$126-EFEITO!$O$126*EFEITO!$AA$126</f>
        <v>419.52671952238131</v>
      </c>
      <c r="P126" s="57"/>
      <c r="Q126" s="57"/>
      <c r="R126" s="57"/>
      <c r="S126" s="57"/>
      <c r="T126" s="57"/>
      <c r="U126" s="57"/>
      <c r="V126" s="57"/>
      <c r="W126" s="57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53" t="s">
        <v>21</v>
      </c>
      <c r="B127" s="53" t="s">
        <v>22</v>
      </c>
      <c r="C127" s="53" t="s">
        <v>23</v>
      </c>
      <c r="D127" s="53" t="s">
        <v>24</v>
      </c>
      <c r="E127" s="53" t="s">
        <v>30</v>
      </c>
      <c r="F127" s="53" t="s">
        <v>25</v>
      </c>
      <c r="G127" s="53" t="s">
        <v>25</v>
      </c>
      <c r="H127" s="53" t="s">
        <v>25</v>
      </c>
      <c r="I127" s="74">
        <v>44409</v>
      </c>
      <c r="J127" s="75">
        <f>EFEITO!$J$127*EFEITO!$Y$74</f>
        <v>0</v>
      </c>
      <c r="K127" s="75">
        <f ca="1">EFEITO!$L$127*EFEITO!$Z$151</f>
        <v>4371.4080056273106</v>
      </c>
      <c r="L127" s="75">
        <f>EFEITO!$N$127*EFEITO!$AA$151</f>
        <v>1090.5888349263196</v>
      </c>
      <c r="M127" s="75">
        <f>$J$127-EFEITO!$K$127*EFEITO!$Y$127</f>
        <v>0</v>
      </c>
      <c r="N127" s="75">
        <f ca="1">$K$127-EFEITO!$M$127*EFEITO!$Z$127</f>
        <v>1748.563202250924</v>
      </c>
      <c r="O127" s="75">
        <f>$L$127-EFEITO!$O$127*EFEITO!$AA$127</f>
        <v>436.23553397052797</v>
      </c>
      <c r="P127" s="57"/>
      <c r="Q127" s="57"/>
      <c r="R127" s="57"/>
      <c r="S127" s="57"/>
      <c r="T127" s="57"/>
      <c r="U127" s="57"/>
      <c r="V127" s="57"/>
      <c r="W127" s="57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53" t="s">
        <v>27</v>
      </c>
      <c r="B128" s="53" t="s">
        <v>22</v>
      </c>
      <c r="C128" s="53" t="s">
        <v>23</v>
      </c>
      <c r="D128" s="53" t="s">
        <v>24</v>
      </c>
      <c r="E128" s="53" t="s">
        <v>30</v>
      </c>
      <c r="F128" s="53" t="s">
        <v>25</v>
      </c>
      <c r="G128" s="53" t="s">
        <v>25</v>
      </c>
      <c r="H128" s="53" t="s">
        <v>25</v>
      </c>
      <c r="I128" s="74">
        <v>44409</v>
      </c>
      <c r="J128" s="75">
        <f>EFEITO!$J$128*EFEITO!$Y$74</f>
        <v>0</v>
      </c>
      <c r="K128" s="75">
        <f ca="1">EFEITO!$L$128*EFEITO!$Z$151</f>
        <v>-27.151602519424287</v>
      </c>
      <c r="L128" s="75">
        <f>EFEITO!$N$128*EFEITO!$AA$151</f>
        <v>-6.7738436951945307</v>
      </c>
      <c r="M128" s="75">
        <f>$J$128-EFEITO!$K$128*EFEITO!$Y$128</f>
        <v>0</v>
      </c>
      <c r="N128" s="75">
        <f ca="1">$K$128-EFEITO!$M$128*EFEITO!$Z$128</f>
        <v>-10.860641007769715</v>
      </c>
      <c r="O128" s="75">
        <f>$L$128-EFEITO!$O$128*EFEITO!$AA$128</f>
        <v>-2.709537478077813</v>
      </c>
      <c r="P128" s="57"/>
      <c r="Q128" s="57"/>
      <c r="R128" s="57"/>
      <c r="S128" s="57"/>
      <c r="T128" s="57"/>
      <c r="U128" s="57"/>
      <c r="V128" s="57"/>
      <c r="W128" s="57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53" t="s">
        <v>21</v>
      </c>
      <c r="B129" s="53" t="s">
        <v>22</v>
      </c>
      <c r="C129" s="53" t="s">
        <v>23</v>
      </c>
      <c r="D129" s="53" t="s">
        <v>24</v>
      </c>
      <c r="E129" s="53" t="s">
        <v>30</v>
      </c>
      <c r="F129" s="53" t="s">
        <v>25</v>
      </c>
      <c r="G129" s="53" t="s">
        <v>25</v>
      </c>
      <c r="H129" s="53" t="s">
        <v>25</v>
      </c>
      <c r="I129" s="74">
        <v>44440</v>
      </c>
      <c r="J129" s="75">
        <f>EFEITO!$J$129*EFEITO!$Y$74</f>
        <v>0</v>
      </c>
      <c r="K129" s="75">
        <f ca="1">EFEITO!$L$129*EFEITO!$Z$151</f>
        <v>4696.3221824430875</v>
      </c>
      <c r="L129" s="75">
        <f>EFEITO!$N$129*EFEITO!$AA$151</f>
        <v>1171.6491644788141</v>
      </c>
      <c r="M129" s="75">
        <f>$J$129-EFEITO!$K$129*EFEITO!$Y$129</f>
        <v>0</v>
      </c>
      <c r="N129" s="75">
        <f ca="1">$K$129-EFEITO!$M$129*EFEITO!$Z$129</f>
        <v>1878.5288729772346</v>
      </c>
      <c r="O129" s="75">
        <f>$L$129-EFEITO!$O$129*EFEITO!$AA$129</f>
        <v>468.65966579152575</v>
      </c>
      <c r="P129" s="57"/>
      <c r="Q129" s="57"/>
      <c r="R129" s="57"/>
      <c r="S129" s="57"/>
      <c r="T129" s="57"/>
      <c r="U129" s="57"/>
      <c r="V129" s="57"/>
      <c r="W129" s="57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53" t="s">
        <v>21</v>
      </c>
      <c r="B130" s="53" t="s">
        <v>22</v>
      </c>
      <c r="C130" s="53" t="s">
        <v>23</v>
      </c>
      <c r="D130" s="53" t="s">
        <v>24</v>
      </c>
      <c r="E130" s="53" t="s">
        <v>30</v>
      </c>
      <c r="F130" s="53" t="s">
        <v>25</v>
      </c>
      <c r="G130" s="53" t="s">
        <v>25</v>
      </c>
      <c r="H130" s="53" t="s">
        <v>25</v>
      </c>
      <c r="I130" s="74">
        <v>44470</v>
      </c>
      <c r="J130" s="75">
        <f>EFEITO!$J$130*EFEITO!$Y$74</f>
        <v>0</v>
      </c>
      <c r="K130" s="75">
        <f ca="1">EFEITO!$L$130*EFEITO!$Z$151</f>
        <v>5045.672801526347</v>
      </c>
      <c r="L130" s="75">
        <f>EFEITO!$N$130*EFEITO!$AA$151</f>
        <v>1258.8059533569838</v>
      </c>
      <c r="M130" s="75">
        <f>$J$130-EFEITO!$K$130*EFEITO!$Y$130</f>
        <v>0</v>
      </c>
      <c r="N130" s="75">
        <f ca="1">$K$130-EFEITO!$M$130*EFEITO!$Z$130</f>
        <v>2018.2691206105387</v>
      </c>
      <c r="O130" s="75">
        <f>$L$130-EFEITO!$O$130*EFEITO!$AA$130</f>
        <v>503.52238134279366</v>
      </c>
      <c r="P130" s="57"/>
      <c r="Q130" s="57"/>
      <c r="R130" s="57"/>
      <c r="S130" s="57"/>
      <c r="T130" s="57"/>
      <c r="U130" s="57"/>
      <c r="V130" s="57"/>
      <c r="W130" s="57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53" t="s">
        <v>21</v>
      </c>
      <c r="B131" s="53" t="s">
        <v>22</v>
      </c>
      <c r="C131" s="53" t="s">
        <v>23</v>
      </c>
      <c r="D131" s="53" t="s">
        <v>24</v>
      </c>
      <c r="E131" s="53" t="s">
        <v>30</v>
      </c>
      <c r="F131" s="53" t="s">
        <v>25</v>
      </c>
      <c r="G131" s="53" t="s">
        <v>25</v>
      </c>
      <c r="H131" s="53" t="s">
        <v>25</v>
      </c>
      <c r="I131" s="74">
        <v>44501</v>
      </c>
      <c r="J131" s="75">
        <f>EFEITO!$J$131*EFEITO!$Y$74</f>
        <v>0</v>
      </c>
      <c r="K131" s="75">
        <f ca="1">EFEITO!$L$131*EFEITO!$Z$151</f>
        <v>5351.5808565785273</v>
      </c>
      <c r="L131" s="75">
        <f>EFEITO!$N$131*EFEITO!$AA$151</f>
        <v>1335.1245923228421</v>
      </c>
      <c r="M131" s="75">
        <f>$J$131-EFEITO!$K$131*EFEITO!$Y$131</f>
        <v>0</v>
      </c>
      <c r="N131" s="75">
        <f ca="1">$K$131-EFEITO!$M$131*EFEITO!$Z$131</f>
        <v>2140.6323426314107</v>
      </c>
      <c r="O131" s="75">
        <f>$L$131-EFEITO!$O$131*EFEITO!$AA$131</f>
        <v>534.04983692913686</v>
      </c>
      <c r="P131" s="57"/>
      <c r="Q131" s="57"/>
      <c r="R131" s="57"/>
      <c r="S131" s="57"/>
      <c r="T131" s="57"/>
      <c r="U131" s="57"/>
      <c r="V131" s="57"/>
      <c r="W131" s="57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53" t="s">
        <v>21</v>
      </c>
      <c r="B132" s="53" t="s">
        <v>22</v>
      </c>
      <c r="C132" s="53" t="s">
        <v>23</v>
      </c>
      <c r="D132" s="53" t="s">
        <v>24</v>
      </c>
      <c r="E132" s="53" t="s">
        <v>30</v>
      </c>
      <c r="F132" s="53" t="s">
        <v>25</v>
      </c>
      <c r="G132" s="53" t="s">
        <v>25</v>
      </c>
      <c r="H132" s="53" t="s">
        <v>25</v>
      </c>
      <c r="I132" s="74">
        <v>44531</v>
      </c>
      <c r="J132" s="75">
        <f>EFEITO!$J$132*EFEITO!$Y$74</f>
        <v>0</v>
      </c>
      <c r="K132" s="75">
        <f ca="1">EFEITO!$L$132*EFEITO!$Z$151</f>
        <v>5554.3128220568951</v>
      </c>
      <c r="L132" s="75">
        <f>EFEITO!$N$132*EFEITO!$AA$151</f>
        <v>1385.7026252469611</v>
      </c>
      <c r="M132" s="75">
        <f>$J$132-EFEITO!$K$132*EFEITO!$Y$132</f>
        <v>0</v>
      </c>
      <c r="N132" s="75">
        <f ca="1">$K$132-EFEITO!$M$132*EFEITO!$Z$132</f>
        <v>2221.7251288227581</v>
      </c>
      <c r="O132" s="75">
        <f>$L$132-EFEITO!$O$132*EFEITO!$AA$132</f>
        <v>554.28105009878459</v>
      </c>
      <c r="P132" s="57"/>
      <c r="Q132" s="57"/>
      <c r="R132" s="57"/>
      <c r="S132" s="57"/>
      <c r="T132" s="57"/>
      <c r="U132" s="57"/>
      <c r="V132" s="57"/>
      <c r="W132" s="57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53" t="s">
        <v>27</v>
      </c>
      <c r="B133" s="53" t="s">
        <v>22</v>
      </c>
      <c r="C133" s="53" t="s">
        <v>23</v>
      </c>
      <c r="D133" s="53" t="s">
        <v>24</v>
      </c>
      <c r="E133" s="53" t="s">
        <v>30</v>
      </c>
      <c r="F133" s="53" t="s">
        <v>25</v>
      </c>
      <c r="G133" s="53" t="s">
        <v>25</v>
      </c>
      <c r="H133" s="53" t="s">
        <v>25</v>
      </c>
      <c r="I133" s="74">
        <v>44531</v>
      </c>
      <c r="J133" s="75">
        <f>EFEITO!$J$133*EFEITO!$Y$74</f>
        <v>0</v>
      </c>
      <c r="K133" s="75">
        <f ca="1">EFEITO!$L$133*EFEITO!$Z$151</f>
        <v>-9.0505341731414291</v>
      </c>
      <c r="L133" s="75">
        <f>EFEITO!$N$133*EFEITO!$AA$151</f>
        <v>-2.2579478983981769</v>
      </c>
      <c r="M133" s="75">
        <f>$J$133-EFEITO!$K$133*EFEITO!$Y$133</f>
        <v>0</v>
      </c>
      <c r="N133" s="75">
        <f ca="1">$K$133-EFEITO!$M$133*EFEITO!$Z$133</f>
        <v>-3.6202136692565707</v>
      </c>
      <c r="O133" s="75">
        <f>$L$133-EFEITO!$O$133*EFEITO!$AA$133</f>
        <v>-0.90317915935927084</v>
      </c>
      <c r="P133" s="57"/>
      <c r="Q133" s="57"/>
      <c r="R133" s="57"/>
      <c r="S133" s="57"/>
      <c r="T133" s="57"/>
      <c r="U133" s="57"/>
      <c r="V133" s="57"/>
      <c r="W133" s="57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53" t="s">
        <v>21</v>
      </c>
      <c r="B134" s="53" t="s">
        <v>22</v>
      </c>
      <c r="C134" s="53" t="s">
        <v>23</v>
      </c>
      <c r="D134" s="53" t="s">
        <v>24</v>
      </c>
      <c r="E134" s="53" t="s">
        <v>30</v>
      </c>
      <c r="F134" s="53" t="s">
        <v>25</v>
      </c>
      <c r="G134" s="53" t="s">
        <v>25</v>
      </c>
      <c r="H134" s="53" t="s">
        <v>25</v>
      </c>
      <c r="I134" s="74">
        <v>44562</v>
      </c>
      <c r="J134" s="75">
        <f>EFEITO!$J$134*EFEITO!$Y$74</f>
        <v>0</v>
      </c>
      <c r="K134" s="75">
        <f ca="1">EFEITO!$L$134*EFEITO!$Z$151</f>
        <v>6042.1366139892189</v>
      </c>
      <c r="L134" s="75">
        <f>EFEITO!$N$134*EFEITO!$AA$151</f>
        <v>1507.4060169706229</v>
      </c>
      <c r="M134" s="75">
        <f>$J$134-EFEITO!$K$134*EFEITO!$Y$134</f>
        <v>0</v>
      </c>
      <c r="N134" s="75">
        <f ca="1">$K$134-EFEITO!$M$134*EFEITO!$Z$134</f>
        <v>2416.8546455956875</v>
      </c>
      <c r="O134" s="75">
        <f>$L$134-EFEITO!$O$134*EFEITO!$AA$134</f>
        <v>602.96240678824915</v>
      </c>
      <c r="P134" s="57"/>
      <c r="Q134" s="57"/>
      <c r="R134" s="57"/>
      <c r="S134" s="57"/>
      <c r="T134" s="57"/>
      <c r="U134" s="57"/>
      <c r="V134" s="57"/>
      <c r="W134" s="57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53" t="s">
        <v>21</v>
      </c>
      <c r="B135" s="53" t="s">
        <v>22</v>
      </c>
      <c r="C135" s="53" t="s">
        <v>23</v>
      </c>
      <c r="D135" s="53" t="s">
        <v>24</v>
      </c>
      <c r="E135" s="53" t="s">
        <v>30</v>
      </c>
      <c r="F135" s="53" t="s">
        <v>25</v>
      </c>
      <c r="G135" s="53" t="s">
        <v>25</v>
      </c>
      <c r="H135" s="53" t="s">
        <v>25</v>
      </c>
      <c r="I135" s="74">
        <v>44593</v>
      </c>
      <c r="J135" s="75">
        <f>EFEITO!$J$135*EFEITO!$Y$74</f>
        <v>0</v>
      </c>
      <c r="K135" s="75">
        <f ca="1">EFEITO!$L$135*EFEITO!$Z$151</f>
        <v>6761.6540807539623</v>
      </c>
      <c r="L135" s="75">
        <f>EFEITO!$N$135*EFEITO!$AA$151</f>
        <v>1686.9128748932781</v>
      </c>
      <c r="M135" s="75">
        <f>$J$135-EFEITO!$K$135*EFEITO!$Y$135</f>
        <v>0</v>
      </c>
      <c r="N135" s="75">
        <f ca="1">$K$135-EFEITO!$M$135*EFEITO!$Z$135</f>
        <v>2704.6616323015846</v>
      </c>
      <c r="O135" s="75">
        <f>$L$135-EFEITO!$O$135*EFEITO!$AA$135</f>
        <v>674.76514995731134</v>
      </c>
      <c r="P135" s="57"/>
      <c r="Q135" s="57"/>
      <c r="R135" s="57"/>
      <c r="S135" s="57"/>
      <c r="T135" s="57"/>
      <c r="U135" s="57"/>
      <c r="V135" s="57"/>
      <c r="W135" s="57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53" t="s">
        <v>21</v>
      </c>
      <c r="B136" s="53" t="s">
        <v>22</v>
      </c>
      <c r="C136" s="53" t="s">
        <v>23</v>
      </c>
      <c r="D136" s="53" t="s">
        <v>24</v>
      </c>
      <c r="E136" s="53" t="s">
        <v>30</v>
      </c>
      <c r="F136" s="53" t="s">
        <v>25</v>
      </c>
      <c r="G136" s="53" t="s">
        <v>25</v>
      </c>
      <c r="H136" s="53" t="s">
        <v>25</v>
      </c>
      <c r="I136" s="74">
        <v>44621</v>
      </c>
      <c r="J136" s="75">
        <f>EFEITO!$J$136*EFEITO!$Y$74</f>
        <v>0</v>
      </c>
      <c r="K136" s="75">
        <f ca="1">EFEITO!$L$136*EFEITO!$Z$151</f>
        <v>13996.651098763221</v>
      </c>
      <c r="L136" s="75">
        <f>EFEITO!$N$136*EFEITO!$AA$151</f>
        <v>3491.9164248727807</v>
      </c>
      <c r="M136" s="75">
        <f>$J$136-EFEITO!$K$136*EFEITO!$Y$136</f>
        <v>0</v>
      </c>
      <c r="N136" s="75">
        <f ca="1">$K$136-EFEITO!$M$136*EFEITO!$Z$136</f>
        <v>5598.6604395052873</v>
      </c>
      <c r="O136" s="75">
        <f>$L$136-EFEITO!$O$136*EFEITO!$AA$136</f>
        <v>1396.7665699491126</v>
      </c>
      <c r="P136" s="57"/>
      <c r="Q136" s="57"/>
      <c r="R136" s="57"/>
      <c r="S136" s="57"/>
      <c r="T136" s="57"/>
      <c r="U136" s="57"/>
      <c r="V136" s="57"/>
      <c r="W136" s="57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53" t="s">
        <v>21</v>
      </c>
      <c r="B137" s="53" t="s">
        <v>22</v>
      </c>
      <c r="C137" s="53" t="s">
        <v>23</v>
      </c>
      <c r="D137" s="53" t="s">
        <v>24</v>
      </c>
      <c r="E137" s="53" t="s">
        <v>31</v>
      </c>
      <c r="F137" s="53" t="s">
        <v>25</v>
      </c>
      <c r="G137" s="53" t="s">
        <v>25</v>
      </c>
      <c r="H137" s="53" t="s">
        <v>25</v>
      </c>
      <c r="I137" s="74">
        <v>44287</v>
      </c>
      <c r="J137" s="75">
        <f>EFEITO!$J$137*EFEITO!$Y$74</f>
        <v>0</v>
      </c>
      <c r="K137" s="75">
        <f ca="1">EFEITO!$L$137*EFEITO!$Z$151</f>
        <v>3549.6195027060689</v>
      </c>
      <c r="L137" s="75">
        <f>EFEITO!$N$137*EFEITO!$AA$151</f>
        <v>885.56716575176506</v>
      </c>
      <c r="M137" s="75">
        <f>$J$137-EFEITO!$K$137*EFEITO!$Y$137</f>
        <v>0</v>
      </c>
      <c r="N137" s="75">
        <f ca="1">$K$137-EFEITO!$M$137*EFEITO!$Z$137</f>
        <v>354.9619502706073</v>
      </c>
      <c r="O137" s="75">
        <f>$L$137-EFEITO!$O$137*EFEITO!$AA$137</f>
        <v>88.556716575176551</v>
      </c>
      <c r="P137" s="57"/>
      <c r="Q137" s="57"/>
      <c r="R137" s="57"/>
      <c r="S137" s="57"/>
      <c r="T137" s="57"/>
      <c r="U137" s="57"/>
      <c r="V137" s="57"/>
      <c r="W137" s="5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53" t="s">
        <v>21</v>
      </c>
      <c r="B138" s="53" t="s">
        <v>22</v>
      </c>
      <c r="C138" s="53" t="s">
        <v>23</v>
      </c>
      <c r="D138" s="53" t="s">
        <v>24</v>
      </c>
      <c r="E138" s="53" t="s">
        <v>31</v>
      </c>
      <c r="F138" s="53" t="s">
        <v>25</v>
      </c>
      <c r="G138" s="53" t="s">
        <v>25</v>
      </c>
      <c r="H138" s="53" t="s">
        <v>25</v>
      </c>
      <c r="I138" s="74">
        <v>44317</v>
      </c>
      <c r="J138" s="75">
        <f>EFEITO!$J$138*EFEITO!$Y$74</f>
        <v>0</v>
      </c>
      <c r="K138" s="75">
        <f ca="1">EFEITO!$L$138*EFEITO!$Z$151</f>
        <v>3555.0498232099535</v>
      </c>
      <c r="L138" s="75">
        <f>EFEITO!$N$138*EFEITO!$AA$151</f>
        <v>886.92193449080389</v>
      </c>
      <c r="M138" s="75">
        <f>$J$138-EFEITO!$K$138*EFEITO!$Y$138</f>
        <v>0</v>
      </c>
      <c r="N138" s="75">
        <f ca="1">$K$138-EFEITO!$M$138*EFEITO!$Z$138</f>
        <v>355.50498232099562</v>
      </c>
      <c r="O138" s="75">
        <f>$L$138-EFEITO!$O$138*EFEITO!$AA$138</f>
        <v>88.692193449080378</v>
      </c>
      <c r="P138" s="57"/>
      <c r="Q138" s="57"/>
      <c r="R138" s="57"/>
      <c r="S138" s="57"/>
      <c r="T138" s="57"/>
      <c r="U138" s="57"/>
      <c r="V138" s="57"/>
      <c r="W138" s="5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53" t="s">
        <v>21</v>
      </c>
      <c r="B139" s="53" t="s">
        <v>22</v>
      </c>
      <c r="C139" s="53" t="s">
        <v>23</v>
      </c>
      <c r="D139" s="53" t="s">
        <v>24</v>
      </c>
      <c r="E139" s="53" t="s">
        <v>31</v>
      </c>
      <c r="F139" s="53" t="s">
        <v>25</v>
      </c>
      <c r="G139" s="53" t="s">
        <v>25</v>
      </c>
      <c r="H139" s="53" t="s">
        <v>25</v>
      </c>
      <c r="I139" s="74">
        <v>44348</v>
      </c>
      <c r="J139" s="75">
        <f>EFEITO!$J$139*EFEITO!$Y$74</f>
        <v>0</v>
      </c>
      <c r="K139" s="75">
        <f ca="1">EFEITO!$L$139*EFEITO!$Z$151</f>
        <v>3562.2902505484667</v>
      </c>
      <c r="L139" s="75">
        <f>EFEITO!$N$139*EFEITO!$AA$151</f>
        <v>888.72829280952249</v>
      </c>
      <c r="M139" s="75">
        <f>$J$139-EFEITO!$K$139*EFEITO!$Y$139</f>
        <v>0</v>
      </c>
      <c r="N139" s="75">
        <f ca="1">$K$139-EFEITO!$M$139*EFEITO!$Z$139</f>
        <v>356.22902505484672</v>
      </c>
      <c r="O139" s="75">
        <f>$L$139-EFEITO!$O$139*EFEITO!$AA$139</f>
        <v>88.87282928095226</v>
      </c>
      <c r="P139" s="57"/>
      <c r="Q139" s="57"/>
      <c r="R139" s="57"/>
      <c r="S139" s="57"/>
      <c r="T139" s="57"/>
      <c r="U139" s="57"/>
      <c r="V139" s="57"/>
      <c r="W139" s="57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53" t="s">
        <v>21</v>
      </c>
      <c r="B140" s="53" t="s">
        <v>22</v>
      </c>
      <c r="C140" s="53" t="s">
        <v>23</v>
      </c>
      <c r="D140" s="53" t="s">
        <v>24</v>
      </c>
      <c r="E140" s="53" t="s">
        <v>31</v>
      </c>
      <c r="F140" s="53" t="s">
        <v>25</v>
      </c>
      <c r="G140" s="53" t="s">
        <v>25</v>
      </c>
      <c r="H140" s="53" t="s">
        <v>25</v>
      </c>
      <c r="I140" s="74">
        <v>44378</v>
      </c>
      <c r="J140" s="75">
        <f>EFEITO!$J$140*EFEITO!$Y$74</f>
        <v>0</v>
      </c>
      <c r="K140" s="75">
        <f ca="1">EFEITO!$L$140*EFEITO!$Z$151</f>
        <v>3171.3071742687571</v>
      </c>
      <c r="L140" s="75">
        <f>EFEITO!$N$140*EFEITO!$AA$151</f>
        <v>791.18494359872125</v>
      </c>
      <c r="M140" s="75">
        <f>$J$140-EFEITO!$K$140*EFEITO!$Y$140</f>
        <v>0</v>
      </c>
      <c r="N140" s="75">
        <f ca="1">$K$140-EFEITO!$M$140*EFEITO!$Z$140</f>
        <v>317.13071742687589</v>
      </c>
      <c r="O140" s="75">
        <f>$L$140-EFEITO!$O$140*EFEITO!$AA$140</f>
        <v>79.118494359872216</v>
      </c>
      <c r="P140" s="57"/>
      <c r="Q140" s="57"/>
      <c r="R140" s="57"/>
      <c r="S140" s="57"/>
      <c r="T140" s="57"/>
      <c r="U140" s="57"/>
      <c r="V140" s="57"/>
      <c r="W140" s="5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53" t="s">
        <v>21</v>
      </c>
      <c r="B141" s="53" t="s">
        <v>22</v>
      </c>
      <c r="C141" s="53" t="s">
        <v>23</v>
      </c>
      <c r="D141" s="53" t="s">
        <v>24</v>
      </c>
      <c r="E141" s="53" t="s">
        <v>31</v>
      </c>
      <c r="F141" s="53" t="s">
        <v>25</v>
      </c>
      <c r="G141" s="53" t="s">
        <v>25</v>
      </c>
      <c r="H141" s="53" t="s">
        <v>25</v>
      </c>
      <c r="I141" s="74">
        <v>44409</v>
      </c>
      <c r="J141" s="75">
        <f>EFEITO!$J$141*EFEITO!$Y$74</f>
        <v>0</v>
      </c>
      <c r="K141" s="75">
        <f ca="1">EFEITO!$L$141*EFEITO!$Z$151</f>
        <v>3569.5306778869799</v>
      </c>
      <c r="L141" s="75">
        <f>EFEITO!$N$141*EFEITO!$AA$151</f>
        <v>890.53465112824097</v>
      </c>
      <c r="M141" s="75">
        <f>$J$141-EFEITO!$K$141*EFEITO!$Y$141</f>
        <v>0</v>
      </c>
      <c r="N141" s="75">
        <f ca="1">$K$141-EFEITO!$M$141*EFEITO!$Z$141</f>
        <v>356.95306778869826</v>
      </c>
      <c r="O141" s="75">
        <f>$L$141-EFEITO!$O$141*EFEITO!$AA$141</f>
        <v>89.053465112824142</v>
      </c>
      <c r="P141" s="57"/>
      <c r="Q141" s="57"/>
      <c r="R141" s="57"/>
      <c r="S141" s="57"/>
      <c r="T141" s="57"/>
      <c r="U141" s="57"/>
      <c r="V141" s="57"/>
      <c r="W141" s="57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53" t="s">
        <v>27</v>
      </c>
      <c r="B142" s="53" t="s">
        <v>22</v>
      </c>
      <c r="C142" s="53" t="s">
        <v>23</v>
      </c>
      <c r="D142" s="53" t="s">
        <v>24</v>
      </c>
      <c r="E142" s="53" t="s">
        <v>31</v>
      </c>
      <c r="F142" s="53" t="s">
        <v>25</v>
      </c>
      <c r="G142" s="53" t="s">
        <v>25</v>
      </c>
      <c r="H142" s="53" t="s">
        <v>25</v>
      </c>
      <c r="I142" s="74">
        <v>44409</v>
      </c>
      <c r="J142" s="75">
        <f>EFEITO!$J$142*EFEITO!$Y$74</f>
        <v>0</v>
      </c>
      <c r="K142" s="75">
        <f ca="1">EFEITO!$L$142*EFEITO!$Z$151</f>
        <v>-37.107190109879866</v>
      </c>
      <c r="L142" s="75">
        <f>EFEITO!$N$142*EFEITO!$AA$151</f>
        <v>-9.2575863834325265</v>
      </c>
      <c r="M142" s="75">
        <f>$J$142-EFEITO!$K$142*EFEITO!$Y$142</f>
        <v>0</v>
      </c>
      <c r="N142" s="75">
        <f ca="1">$K$142-EFEITO!$M$142*EFEITO!$Z$142</f>
        <v>-3.7107190109879937</v>
      </c>
      <c r="O142" s="75">
        <f>$L$142-EFEITO!$O$142*EFEITO!$AA$142</f>
        <v>-0.92575863834325389</v>
      </c>
      <c r="P142" s="57"/>
      <c r="Q142" s="57"/>
      <c r="R142" s="57"/>
      <c r="S142" s="57"/>
      <c r="T142" s="57"/>
      <c r="U142" s="57"/>
      <c r="V142" s="57"/>
      <c r="W142" s="5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53" t="s">
        <v>21</v>
      </c>
      <c r="B143" s="53" t="s">
        <v>22</v>
      </c>
      <c r="C143" s="53" t="s">
        <v>23</v>
      </c>
      <c r="D143" s="53" t="s">
        <v>24</v>
      </c>
      <c r="E143" s="53" t="s">
        <v>31</v>
      </c>
      <c r="F143" s="53" t="s">
        <v>25</v>
      </c>
      <c r="G143" s="53" t="s">
        <v>25</v>
      </c>
      <c r="H143" s="53" t="s">
        <v>25</v>
      </c>
      <c r="I143" s="74">
        <v>44440</v>
      </c>
      <c r="J143" s="75">
        <f>EFEITO!$J$143*EFEITO!$Y$74</f>
        <v>0</v>
      </c>
      <c r="K143" s="75">
        <f ca="1">EFEITO!$L$143*EFEITO!$Z$151</f>
        <v>4374.1231658792531</v>
      </c>
      <c r="L143" s="75">
        <f>EFEITO!$N$143*EFEITO!$AA$151</f>
        <v>1091.2662192958389</v>
      </c>
      <c r="M143" s="75">
        <f>$J$143-EFEITO!$K$143*EFEITO!$Y$143</f>
        <v>0</v>
      </c>
      <c r="N143" s="75">
        <f ca="1">$K$143-EFEITO!$M$143*EFEITO!$Z$143</f>
        <v>437.41231658792549</v>
      </c>
      <c r="O143" s="75">
        <f>$L$143-EFEITO!$O$143*EFEITO!$AA$143</f>
        <v>109.12662192958385</v>
      </c>
      <c r="P143" s="57"/>
      <c r="Q143" s="57"/>
      <c r="R143" s="57"/>
      <c r="S143" s="57"/>
      <c r="T143" s="57"/>
      <c r="U143" s="57"/>
      <c r="V143" s="57"/>
      <c r="W143" s="5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53" t="s">
        <v>21</v>
      </c>
      <c r="B144" s="53" t="s">
        <v>22</v>
      </c>
      <c r="C144" s="53" t="s">
        <v>23</v>
      </c>
      <c r="D144" s="53" t="s">
        <v>24</v>
      </c>
      <c r="E144" s="53" t="s">
        <v>31</v>
      </c>
      <c r="F144" s="53" t="s">
        <v>25</v>
      </c>
      <c r="G144" s="53" t="s">
        <v>25</v>
      </c>
      <c r="H144" s="53" t="s">
        <v>25</v>
      </c>
      <c r="I144" s="74">
        <v>44470</v>
      </c>
      <c r="J144" s="75">
        <f>EFEITO!$J$144*EFEITO!$Y$74</f>
        <v>0</v>
      </c>
      <c r="K144" s="75">
        <f ca="1">EFEITO!$L$144*EFEITO!$Z$151</f>
        <v>4365.9776851234255</v>
      </c>
      <c r="L144" s="75">
        <f>EFEITO!$N$144*EFEITO!$AA$151</f>
        <v>1089.2340661872806</v>
      </c>
      <c r="M144" s="75">
        <f>$J$144-EFEITO!$K$144*EFEITO!$Y$144</f>
        <v>0</v>
      </c>
      <c r="N144" s="75">
        <f ca="1">$K$144-EFEITO!$M$144*EFEITO!$Z$144</f>
        <v>436.59776851234255</v>
      </c>
      <c r="O144" s="75">
        <f>$L$144-EFEITO!$O$144*EFEITO!$AA$144</f>
        <v>108.92340661872822</v>
      </c>
      <c r="P144" s="57"/>
      <c r="Q144" s="57"/>
      <c r="R144" s="57"/>
      <c r="S144" s="57"/>
      <c r="T144" s="57"/>
      <c r="U144" s="57"/>
      <c r="V144" s="57"/>
      <c r="W144" s="5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53" t="s">
        <v>21</v>
      </c>
      <c r="B145" s="53" t="s">
        <v>22</v>
      </c>
      <c r="C145" s="53" t="s">
        <v>23</v>
      </c>
      <c r="D145" s="53" t="s">
        <v>24</v>
      </c>
      <c r="E145" s="53" t="s">
        <v>31</v>
      </c>
      <c r="F145" s="53" t="s">
        <v>25</v>
      </c>
      <c r="G145" s="53" t="s">
        <v>25</v>
      </c>
      <c r="H145" s="53" t="s">
        <v>25</v>
      </c>
      <c r="I145" s="74">
        <v>44501</v>
      </c>
      <c r="J145" s="75">
        <f>EFEITO!$J$145*EFEITO!$Y$74</f>
        <v>0</v>
      </c>
      <c r="K145" s="75">
        <f ca="1">EFEITO!$L$145*EFEITO!$Z$151</f>
        <v>4239.2702066994461</v>
      </c>
      <c r="L145" s="75">
        <f>EFEITO!$N$145*EFEITO!$AA$151</f>
        <v>1057.6227956097061</v>
      </c>
      <c r="M145" s="75">
        <f>$J$145-EFEITO!$K$145*EFEITO!$Y$145</f>
        <v>0</v>
      </c>
      <c r="N145" s="75">
        <f ca="1">$K$145-EFEITO!$M$145*EFEITO!$Z$145</f>
        <v>423.92702066994525</v>
      </c>
      <c r="O145" s="75">
        <f>$L$145-EFEITO!$O$145*EFEITO!$AA$145</f>
        <v>105.76227956097068</v>
      </c>
      <c r="P145" s="57"/>
      <c r="Q145" s="57"/>
      <c r="R145" s="57"/>
      <c r="S145" s="57"/>
      <c r="T145" s="57"/>
      <c r="U145" s="57"/>
      <c r="V145" s="57"/>
      <c r="W145" s="57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53" t="s">
        <v>21</v>
      </c>
      <c r="B146" s="53" t="s">
        <v>22</v>
      </c>
      <c r="C146" s="53" t="s">
        <v>23</v>
      </c>
      <c r="D146" s="53" t="s">
        <v>24</v>
      </c>
      <c r="E146" s="53" t="s">
        <v>31</v>
      </c>
      <c r="F146" s="53" t="s">
        <v>25</v>
      </c>
      <c r="G146" s="53" t="s">
        <v>25</v>
      </c>
      <c r="H146" s="53" t="s">
        <v>25</v>
      </c>
      <c r="I146" s="74">
        <v>44531</v>
      </c>
      <c r="J146" s="75">
        <f>EFEITO!$J$146*EFEITO!$Y$74</f>
        <v>0</v>
      </c>
      <c r="K146" s="75">
        <f ca="1">EFEITO!$L$146*EFEITO!$Z$151</f>
        <v>4964.2179939680746</v>
      </c>
      <c r="L146" s="75">
        <f>EFEITO!$N$146*EFEITO!$AA$151</f>
        <v>1238.4844222714</v>
      </c>
      <c r="M146" s="75">
        <f>$J$146-EFEITO!$K$146*EFEITO!$Y$146</f>
        <v>0</v>
      </c>
      <c r="N146" s="75">
        <f ca="1">$K$146-EFEITO!$M$146*EFEITO!$Z$146</f>
        <v>496.42179939680773</v>
      </c>
      <c r="O146" s="75">
        <f>$L$146-EFEITO!$O$146*EFEITO!$AA$146</f>
        <v>123.84844222713991</v>
      </c>
      <c r="P146" s="57"/>
      <c r="Q146" s="57"/>
      <c r="R146" s="57"/>
      <c r="S146" s="57"/>
      <c r="T146" s="57"/>
      <c r="U146" s="57"/>
      <c r="V146" s="57"/>
      <c r="W146" s="57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53" t="s">
        <v>27</v>
      </c>
      <c r="B147" s="53" t="s">
        <v>22</v>
      </c>
      <c r="C147" s="53" t="s">
        <v>23</v>
      </c>
      <c r="D147" s="53" t="s">
        <v>24</v>
      </c>
      <c r="E147" s="53" t="s">
        <v>31</v>
      </c>
      <c r="F147" s="53" t="s">
        <v>25</v>
      </c>
      <c r="G147" s="53" t="s">
        <v>25</v>
      </c>
      <c r="H147" s="53" t="s">
        <v>25</v>
      </c>
      <c r="I147" s="74">
        <v>44531</v>
      </c>
      <c r="J147" s="75">
        <f>EFEITO!$J$147*EFEITO!$Y$74</f>
        <v>0</v>
      </c>
      <c r="K147" s="75">
        <f ca="1">EFEITO!$L$147*EFEITO!$Z$151</f>
        <v>-47.062777700335431</v>
      </c>
      <c r="L147" s="75">
        <f>EFEITO!$N$147*EFEITO!$AA$151</f>
        <v>-11.741329071670521</v>
      </c>
      <c r="M147" s="75">
        <f>$J$147-EFEITO!$K$147*EFEITO!$Y$147</f>
        <v>0</v>
      </c>
      <c r="N147" s="75">
        <f ca="1">$K$147-EFEITO!$M$147*EFEITO!$Z$147</f>
        <v>-4.7062777700335445</v>
      </c>
      <c r="O147" s="75">
        <f>$L$147-EFEITO!$O$147*EFEITO!$AA$147</f>
        <v>-1.1741329071670528</v>
      </c>
      <c r="P147" s="57"/>
      <c r="Q147" s="57"/>
      <c r="R147" s="57"/>
      <c r="S147" s="57"/>
      <c r="T147" s="57"/>
      <c r="U147" s="57"/>
      <c r="V147" s="57"/>
      <c r="W147" s="57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53" t="s">
        <v>21</v>
      </c>
      <c r="B148" s="53" t="s">
        <v>22</v>
      </c>
      <c r="C148" s="53" t="s">
        <v>23</v>
      </c>
      <c r="D148" s="53" t="s">
        <v>24</v>
      </c>
      <c r="E148" s="53" t="s">
        <v>31</v>
      </c>
      <c r="F148" s="53" t="s">
        <v>25</v>
      </c>
      <c r="G148" s="53" t="s">
        <v>25</v>
      </c>
      <c r="H148" s="53" t="s">
        <v>25</v>
      </c>
      <c r="I148" s="74">
        <v>44562</v>
      </c>
      <c r="J148" s="75">
        <f>EFEITO!$J$148*EFEITO!$Y$74</f>
        <v>0</v>
      </c>
      <c r="K148" s="75">
        <f ca="1">EFEITO!$L$148*EFEITO!$Z$151</f>
        <v>5571.508836985864</v>
      </c>
      <c r="L148" s="75">
        <f>EFEITO!$N$148*EFEITO!$AA$151</f>
        <v>1389.9927262539177</v>
      </c>
      <c r="M148" s="75">
        <f>$J$148-EFEITO!$K$148*EFEITO!$Y$148</f>
        <v>0</v>
      </c>
      <c r="N148" s="75">
        <f ca="1">$K$148-EFEITO!$M$148*EFEITO!$Z$148</f>
        <v>557.15088369858677</v>
      </c>
      <c r="O148" s="75">
        <f>$L$148-EFEITO!$O$148*EFEITO!$AA$148</f>
        <v>138.99927262539177</v>
      </c>
      <c r="P148" s="57"/>
      <c r="Q148" s="57"/>
      <c r="R148" s="57"/>
      <c r="S148" s="57"/>
      <c r="T148" s="57"/>
      <c r="U148" s="57"/>
      <c r="V148" s="57"/>
      <c r="W148" s="57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53" t="s">
        <v>21</v>
      </c>
      <c r="B149" s="53" t="s">
        <v>22</v>
      </c>
      <c r="C149" s="53" t="s">
        <v>23</v>
      </c>
      <c r="D149" s="53" t="s">
        <v>24</v>
      </c>
      <c r="E149" s="53" t="s">
        <v>31</v>
      </c>
      <c r="F149" s="53" t="s">
        <v>25</v>
      </c>
      <c r="G149" s="53" t="s">
        <v>25</v>
      </c>
      <c r="H149" s="53" t="s">
        <v>25</v>
      </c>
      <c r="I149" s="74">
        <v>44593</v>
      </c>
      <c r="J149" s="75">
        <f>EFEITO!$J$149*EFEITO!$Y$74</f>
        <v>0</v>
      </c>
      <c r="K149" s="75">
        <f ca="1">EFEITO!$L$149*EFEITO!$Z$151</f>
        <v>6174.2744129170833</v>
      </c>
      <c r="L149" s="75">
        <f>EFEITO!$N$149*EFEITO!$AA$151</f>
        <v>1540.3720562872363</v>
      </c>
      <c r="M149" s="75">
        <f>$J$149-EFEITO!$K$149*EFEITO!$Y$149</f>
        <v>0</v>
      </c>
      <c r="N149" s="75">
        <f ca="1">$K$149-EFEITO!$M$149*EFEITO!$Z$149</f>
        <v>617.42744129170842</v>
      </c>
      <c r="O149" s="75">
        <f>$L$149-EFEITO!$O$149*EFEITO!$AA$149</f>
        <v>154.03720562872354</v>
      </c>
      <c r="P149" s="57"/>
      <c r="Q149" s="57"/>
      <c r="R149" s="57"/>
      <c r="S149" s="57"/>
      <c r="T149" s="57"/>
      <c r="U149" s="57"/>
      <c r="V149" s="57"/>
      <c r="W149" s="57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53" t="s">
        <v>21</v>
      </c>
      <c r="B150" s="53" t="s">
        <v>22</v>
      </c>
      <c r="C150" s="53" t="s">
        <v>23</v>
      </c>
      <c r="D150" s="53" t="s">
        <v>24</v>
      </c>
      <c r="E150" s="53" t="s">
        <v>31</v>
      </c>
      <c r="F150" s="53" t="s">
        <v>25</v>
      </c>
      <c r="G150" s="53" t="s">
        <v>25</v>
      </c>
      <c r="H150" s="53" t="s">
        <v>25</v>
      </c>
      <c r="I150" s="74">
        <v>44621</v>
      </c>
      <c r="J150" s="75">
        <f>EFEITO!$J$150*EFEITO!$Y$74</f>
        <v>0</v>
      </c>
      <c r="K150" s="75">
        <f ca="1">EFEITO!$L$150*EFEITO!$Z$151</f>
        <v>11600.069649715371</v>
      </c>
      <c r="L150" s="75">
        <f>EFEITO!$N$150*EFEITO!$AA$151</f>
        <v>2894.0118213769433</v>
      </c>
      <c r="M150" s="75">
        <f>$J$150-EFEITO!$K$150*EFEITO!$Y$150</f>
        <v>0</v>
      </c>
      <c r="N150" s="75">
        <f ca="1">$K$150-EFEITO!$M$150*EFEITO!$Z$150</f>
        <v>1160.0069649715388</v>
      </c>
      <c r="O150" s="75">
        <f>$L$150-EFEITO!$O$150*EFEITO!$AA$150</f>
        <v>289.40118213769438</v>
      </c>
      <c r="P150" s="57"/>
      <c r="Q150" s="57"/>
      <c r="R150" s="57"/>
      <c r="S150" s="57"/>
      <c r="T150" s="57"/>
      <c r="U150" s="57"/>
      <c r="V150" s="57"/>
      <c r="W150" s="57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53" t="s">
        <v>21</v>
      </c>
      <c r="B151" s="53" t="s">
        <v>22</v>
      </c>
      <c r="C151" s="53" t="s">
        <v>23</v>
      </c>
      <c r="D151" s="53" t="s">
        <v>24</v>
      </c>
      <c r="E151" s="53" t="s">
        <v>32</v>
      </c>
      <c r="F151" s="53" t="s">
        <v>25</v>
      </c>
      <c r="G151" s="53" t="s">
        <v>25</v>
      </c>
      <c r="H151" s="53" t="s">
        <v>25</v>
      </c>
      <c r="I151" s="74">
        <v>44287</v>
      </c>
      <c r="J151" s="75">
        <f>EFEITO!$J$151*EFEITO!$Y$74</f>
        <v>0</v>
      </c>
      <c r="K151" s="75">
        <f ca="1">EFEITO!$L$151*EFEITO!$Z$151</f>
        <v>1586.5586405516924</v>
      </c>
      <c r="L151" s="75">
        <f>EFEITO!$N$151*EFEITO!$AA$151</f>
        <v>395.81826658920039</v>
      </c>
      <c r="M151" s="75">
        <f>$J$151-EFEITO!$K$151*EFEITO!$Y$151</f>
        <v>0</v>
      </c>
      <c r="N151" s="75">
        <f ca="1">$K$151-EFEITO!$M$151*EFEITO!$Z$151</f>
        <v>0</v>
      </c>
      <c r="O151" s="75">
        <f>$L$151-EFEITO!$O$151*EFEITO!$AA$151</f>
        <v>0</v>
      </c>
      <c r="P151" s="57"/>
      <c r="Q151" s="57"/>
      <c r="R151" s="57"/>
      <c r="S151" s="57"/>
      <c r="T151" s="57"/>
      <c r="U151" s="57"/>
      <c r="V151" s="57"/>
      <c r="W151" s="57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53" t="s">
        <v>21</v>
      </c>
      <c r="B152" s="53" t="s">
        <v>22</v>
      </c>
      <c r="C152" s="53" t="s">
        <v>23</v>
      </c>
      <c r="D152" s="53" t="s">
        <v>24</v>
      </c>
      <c r="E152" s="53" t="s">
        <v>32</v>
      </c>
      <c r="F152" s="53" t="s">
        <v>25</v>
      </c>
      <c r="G152" s="53" t="s">
        <v>25</v>
      </c>
      <c r="H152" s="53" t="s">
        <v>25</v>
      </c>
      <c r="I152" s="74">
        <v>44317</v>
      </c>
      <c r="J152" s="75">
        <f>EFEITO!$J$152*EFEITO!$Y$74</f>
        <v>0</v>
      </c>
      <c r="K152" s="75">
        <f ca="1">EFEITO!$L$152*EFEITO!$Z$151</f>
        <v>1180.1896561776425</v>
      </c>
      <c r="L152" s="75">
        <f>EFEITO!$N$152*EFEITO!$AA$151</f>
        <v>294.43640595112231</v>
      </c>
      <c r="M152" s="75">
        <f>$J$152-EFEITO!$K$152*EFEITO!$Y$152</f>
        <v>0</v>
      </c>
      <c r="N152" s="75">
        <f ca="1">$K$152-EFEITO!$M$152*EFEITO!$Z$152</f>
        <v>0</v>
      </c>
      <c r="O152" s="75">
        <f>$L$152-EFEITO!$O$152*EFEITO!$AA$152</f>
        <v>0</v>
      </c>
      <c r="P152" s="57"/>
      <c r="Q152" s="57"/>
      <c r="R152" s="57"/>
      <c r="S152" s="57"/>
      <c r="T152" s="57"/>
      <c r="U152" s="57"/>
      <c r="V152" s="57"/>
      <c r="W152" s="57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53" t="s">
        <v>21</v>
      </c>
      <c r="B153" s="53" t="s">
        <v>22</v>
      </c>
      <c r="C153" s="53" t="s">
        <v>23</v>
      </c>
      <c r="D153" s="53" t="s">
        <v>24</v>
      </c>
      <c r="E153" s="53" t="s">
        <v>32</v>
      </c>
      <c r="F153" s="53" t="s">
        <v>25</v>
      </c>
      <c r="G153" s="53" t="s">
        <v>25</v>
      </c>
      <c r="H153" s="53" t="s">
        <v>25</v>
      </c>
      <c r="I153" s="74">
        <v>44348</v>
      </c>
      <c r="J153" s="75">
        <f>EFEITO!$J$153*EFEITO!$Y$74</f>
        <v>0</v>
      </c>
      <c r="K153" s="75">
        <f ca="1">EFEITO!$L$153*EFEITO!$Z$151</f>
        <v>1102.3550622886262</v>
      </c>
      <c r="L153" s="75">
        <f>EFEITO!$N$153*EFEITO!$AA$151</f>
        <v>275.01805402489794</v>
      </c>
      <c r="M153" s="75">
        <f>$J$153-EFEITO!$K$153*EFEITO!$Y$153</f>
        <v>0</v>
      </c>
      <c r="N153" s="75">
        <f ca="1">$K$153-EFEITO!$M$153*EFEITO!$Z$153</f>
        <v>0</v>
      </c>
      <c r="O153" s="75">
        <f>$L$153-EFEITO!$O$153*EFEITO!$AA$153</f>
        <v>0</v>
      </c>
      <c r="P153" s="57"/>
      <c r="Q153" s="57"/>
      <c r="R153" s="57"/>
      <c r="S153" s="57"/>
      <c r="T153" s="57"/>
      <c r="U153" s="57"/>
      <c r="V153" s="57"/>
      <c r="W153" s="57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53" t="s">
        <v>21</v>
      </c>
      <c r="B154" s="53" t="s">
        <v>22</v>
      </c>
      <c r="C154" s="53" t="s">
        <v>23</v>
      </c>
      <c r="D154" s="53" t="s">
        <v>24</v>
      </c>
      <c r="E154" s="53" t="s">
        <v>32</v>
      </c>
      <c r="F154" s="53" t="s">
        <v>25</v>
      </c>
      <c r="G154" s="53" t="s">
        <v>25</v>
      </c>
      <c r="H154" s="53" t="s">
        <v>25</v>
      </c>
      <c r="I154" s="74">
        <v>44378</v>
      </c>
      <c r="J154" s="75">
        <f>EFEITO!$J$154*EFEITO!$Y$74</f>
        <v>0</v>
      </c>
      <c r="K154" s="75">
        <f ca="1">EFEITO!$L$154*EFEITO!$Z$151</f>
        <v>1239.9231817203759</v>
      </c>
      <c r="L154" s="75">
        <f>EFEITO!$N$154*EFEITO!$AA$151</f>
        <v>309.33886208055026</v>
      </c>
      <c r="M154" s="75">
        <f>$J$154-EFEITO!$K$154*EFEITO!$Y$154</f>
        <v>0</v>
      </c>
      <c r="N154" s="75">
        <f ca="1">$K$154-EFEITO!$M$154*EFEITO!$Z$154</f>
        <v>0</v>
      </c>
      <c r="O154" s="75">
        <f>$L$154-EFEITO!$O$154*EFEITO!$AA$154</f>
        <v>0</v>
      </c>
      <c r="P154" s="57"/>
      <c r="Q154" s="57"/>
      <c r="R154" s="57"/>
      <c r="S154" s="57"/>
      <c r="T154" s="57"/>
      <c r="U154" s="57"/>
      <c r="V154" s="57"/>
      <c r="W154" s="57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53" t="s">
        <v>21</v>
      </c>
      <c r="B155" s="53" t="s">
        <v>22</v>
      </c>
      <c r="C155" s="53" t="s">
        <v>23</v>
      </c>
      <c r="D155" s="53" t="s">
        <v>24</v>
      </c>
      <c r="E155" s="53" t="s">
        <v>32</v>
      </c>
      <c r="F155" s="53" t="s">
        <v>25</v>
      </c>
      <c r="G155" s="53" t="s">
        <v>25</v>
      </c>
      <c r="H155" s="53" t="s">
        <v>25</v>
      </c>
      <c r="I155" s="74">
        <v>44409</v>
      </c>
      <c r="J155" s="75">
        <f>EFEITO!$J$155*EFEITO!$Y$74</f>
        <v>0</v>
      </c>
      <c r="K155" s="75">
        <f ca="1">EFEITO!$L$155*EFEITO!$Z$151</f>
        <v>1531.3503820955298</v>
      </c>
      <c r="L155" s="75">
        <f>EFEITO!$N$155*EFEITO!$AA$151</f>
        <v>382.04478440897151</v>
      </c>
      <c r="M155" s="75">
        <f>$J$155-EFEITO!$K$155*EFEITO!$Y$155</f>
        <v>0</v>
      </c>
      <c r="N155" s="75">
        <f ca="1">$K$155-EFEITO!$M$155*EFEITO!$Z$155</f>
        <v>0</v>
      </c>
      <c r="O155" s="75">
        <f>$L$155-EFEITO!$O$155*EFEITO!$AA$155</f>
        <v>0</v>
      </c>
      <c r="P155" s="57"/>
      <c r="Q155" s="57"/>
      <c r="R155" s="57"/>
      <c r="S155" s="57"/>
      <c r="T155" s="57"/>
      <c r="U155" s="57"/>
      <c r="V155" s="57"/>
      <c r="W155" s="57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53" t="s">
        <v>21</v>
      </c>
      <c r="B156" s="53" t="s">
        <v>22</v>
      </c>
      <c r="C156" s="53" t="s">
        <v>23</v>
      </c>
      <c r="D156" s="53" t="s">
        <v>24</v>
      </c>
      <c r="E156" s="53" t="s">
        <v>32</v>
      </c>
      <c r="F156" s="53" t="s">
        <v>25</v>
      </c>
      <c r="G156" s="53" t="s">
        <v>25</v>
      </c>
      <c r="H156" s="53" t="s">
        <v>25</v>
      </c>
      <c r="I156" s="74">
        <v>44440</v>
      </c>
      <c r="J156" s="75">
        <f>EFEITO!$J$156*EFEITO!$Y$74</f>
        <v>0</v>
      </c>
      <c r="K156" s="75">
        <f ca="1">EFEITO!$L$156*EFEITO!$Z$151</f>
        <v>1482.477497560566</v>
      </c>
      <c r="L156" s="75">
        <f>EFEITO!$N$156*EFEITO!$AA$151</f>
        <v>369.85186575762134</v>
      </c>
      <c r="M156" s="75">
        <f>$J$156-EFEITO!$K$156*EFEITO!$Y$156</f>
        <v>0</v>
      </c>
      <c r="N156" s="75">
        <f ca="1">$K$156-EFEITO!$M$156*EFEITO!$Z$156</f>
        <v>0</v>
      </c>
      <c r="O156" s="75">
        <f>$L$156-EFEITO!$O$156*EFEITO!$AA$156</f>
        <v>0</v>
      </c>
      <c r="P156" s="57"/>
      <c r="Q156" s="57"/>
      <c r="R156" s="57"/>
      <c r="S156" s="57"/>
      <c r="T156" s="57"/>
      <c r="U156" s="57"/>
      <c r="V156" s="57"/>
      <c r="W156" s="57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53" t="s">
        <v>21</v>
      </c>
      <c r="B157" s="53" t="s">
        <v>22</v>
      </c>
      <c r="C157" s="53" t="s">
        <v>23</v>
      </c>
      <c r="D157" s="53" t="s">
        <v>24</v>
      </c>
      <c r="E157" s="53" t="s">
        <v>32</v>
      </c>
      <c r="F157" s="53" t="s">
        <v>25</v>
      </c>
      <c r="G157" s="53" t="s">
        <v>25</v>
      </c>
      <c r="H157" s="53" t="s">
        <v>25</v>
      </c>
      <c r="I157" s="74">
        <v>44470</v>
      </c>
      <c r="J157" s="75">
        <f>EFEITO!$J$157*EFEITO!$Y$74</f>
        <v>0</v>
      </c>
      <c r="K157" s="75">
        <f ca="1">EFEITO!$L$157*EFEITO!$Z$151</f>
        <v>1570.267679040038</v>
      </c>
      <c r="L157" s="75">
        <f>EFEITO!$N$157*EFEITO!$AA$151</f>
        <v>391.75396037208372</v>
      </c>
      <c r="M157" s="75">
        <f>$J$157-EFEITO!$K$157*EFEITO!$Y$157</f>
        <v>0</v>
      </c>
      <c r="N157" s="75">
        <f ca="1">$K$157-EFEITO!$M$157*EFEITO!$Z$157</f>
        <v>0</v>
      </c>
      <c r="O157" s="75">
        <f>$L$157-EFEITO!$O$157*EFEITO!$AA$157</f>
        <v>0</v>
      </c>
      <c r="P157" s="57"/>
      <c r="Q157" s="57"/>
      <c r="R157" s="57"/>
      <c r="S157" s="57"/>
      <c r="T157" s="57"/>
      <c r="U157" s="57"/>
      <c r="V157" s="57"/>
      <c r="W157" s="57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53" t="s">
        <v>21</v>
      </c>
      <c r="B158" s="53" t="s">
        <v>22</v>
      </c>
      <c r="C158" s="53" t="s">
        <v>23</v>
      </c>
      <c r="D158" s="53" t="s">
        <v>24</v>
      </c>
      <c r="E158" s="53" t="s">
        <v>32</v>
      </c>
      <c r="F158" s="53" t="s">
        <v>25</v>
      </c>
      <c r="G158" s="53" t="s">
        <v>25</v>
      </c>
      <c r="H158" s="53" t="s">
        <v>25</v>
      </c>
      <c r="I158" s="74">
        <v>44501</v>
      </c>
      <c r="J158" s="75">
        <f>EFEITO!$J$158*EFEITO!$Y$74</f>
        <v>0</v>
      </c>
      <c r="K158" s="75">
        <f ca="1">EFEITO!$L$158*EFEITO!$Z$151</f>
        <v>1314.1375619401356</v>
      </c>
      <c r="L158" s="75">
        <f>EFEITO!$N$158*EFEITO!$AA$151</f>
        <v>327.85403484741528</v>
      </c>
      <c r="M158" s="75">
        <f>$J$158-EFEITO!$K$158*EFEITO!$Y$158</f>
        <v>0</v>
      </c>
      <c r="N158" s="75">
        <f ca="1">$K$158-EFEITO!$M$158*EFEITO!$Z$158</f>
        <v>0</v>
      </c>
      <c r="O158" s="75">
        <f>$L$158-EFEITO!$O$158*EFEITO!$AA$158</f>
        <v>0</v>
      </c>
      <c r="P158" s="57"/>
      <c r="Q158" s="57"/>
      <c r="R158" s="57"/>
      <c r="S158" s="57"/>
      <c r="T158" s="57"/>
      <c r="U158" s="57"/>
      <c r="V158" s="57"/>
      <c r="W158" s="57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53" t="s">
        <v>21</v>
      </c>
      <c r="B159" s="53" t="s">
        <v>22</v>
      </c>
      <c r="C159" s="53" t="s">
        <v>23</v>
      </c>
      <c r="D159" s="53" t="s">
        <v>24</v>
      </c>
      <c r="E159" s="53" t="s">
        <v>32</v>
      </c>
      <c r="F159" s="53" t="s">
        <v>25</v>
      </c>
      <c r="G159" s="53" t="s">
        <v>25</v>
      </c>
      <c r="H159" s="53" t="s">
        <v>25</v>
      </c>
      <c r="I159" s="74">
        <v>44531</v>
      </c>
      <c r="J159" s="75">
        <f>EFEITO!$J$159*EFEITO!$Y$74</f>
        <v>0</v>
      </c>
      <c r="K159" s="75">
        <f ca="1">EFEITO!$L$159*EFEITO!$Z$151</f>
        <v>1624.5708840788866</v>
      </c>
      <c r="L159" s="75">
        <f>EFEITO!$N$159*EFEITO!$AA$151</f>
        <v>405.30164776247273</v>
      </c>
      <c r="M159" s="75">
        <f>$J$159-EFEITO!$K$159*EFEITO!$Y$159</f>
        <v>0</v>
      </c>
      <c r="N159" s="75">
        <f ca="1">$K$159-EFEITO!$M$159*EFEITO!$Z$159</f>
        <v>0</v>
      </c>
      <c r="O159" s="75">
        <f>$L$159-EFEITO!$O$159*EFEITO!$AA$159</f>
        <v>0</v>
      </c>
      <c r="P159" s="57"/>
      <c r="Q159" s="57"/>
      <c r="R159" s="57"/>
      <c r="S159" s="57"/>
      <c r="T159" s="57"/>
      <c r="U159" s="57"/>
      <c r="V159" s="57"/>
      <c r="W159" s="57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53" t="s">
        <v>21</v>
      </c>
      <c r="B160" s="53" t="s">
        <v>22</v>
      </c>
      <c r="C160" s="53" t="s">
        <v>23</v>
      </c>
      <c r="D160" s="53" t="s">
        <v>24</v>
      </c>
      <c r="E160" s="53" t="s">
        <v>32</v>
      </c>
      <c r="F160" s="53" t="s">
        <v>25</v>
      </c>
      <c r="G160" s="53" t="s">
        <v>25</v>
      </c>
      <c r="H160" s="53" t="s">
        <v>25</v>
      </c>
      <c r="I160" s="74">
        <v>44562</v>
      </c>
      <c r="J160" s="75">
        <f>EFEITO!$J$160*EFEITO!$Y$74</f>
        <v>0</v>
      </c>
      <c r="K160" s="75">
        <f ca="1">EFEITO!$L$160*EFEITO!$Z$151</f>
        <v>1914.1879776194125</v>
      </c>
      <c r="L160" s="75">
        <f>EFEITO!$N$160*EFEITO!$AA$151</f>
        <v>477.5559805112145</v>
      </c>
      <c r="M160" s="75">
        <f>$J$160-EFEITO!$K$160*EFEITO!$Y$160</f>
        <v>0</v>
      </c>
      <c r="N160" s="75">
        <f ca="1">$K$160-EFEITO!$M$160*EFEITO!$Z$160</f>
        <v>0</v>
      </c>
      <c r="O160" s="75">
        <f>$L$160-EFEITO!$O$160*EFEITO!$AA$160</f>
        <v>0</v>
      </c>
      <c r="P160" s="57"/>
      <c r="Q160" s="57"/>
      <c r="R160" s="57"/>
      <c r="S160" s="57"/>
      <c r="T160" s="57"/>
      <c r="U160" s="57"/>
      <c r="V160" s="57"/>
      <c r="W160" s="57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53" t="s">
        <v>21</v>
      </c>
      <c r="B161" s="53" t="s">
        <v>22</v>
      </c>
      <c r="C161" s="53" t="s">
        <v>23</v>
      </c>
      <c r="D161" s="53" t="s">
        <v>24</v>
      </c>
      <c r="E161" s="53" t="s">
        <v>32</v>
      </c>
      <c r="F161" s="53" t="s">
        <v>25</v>
      </c>
      <c r="G161" s="53" t="s">
        <v>25</v>
      </c>
      <c r="H161" s="53" t="s">
        <v>25</v>
      </c>
      <c r="I161" s="74">
        <v>44593</v>
      </c>
      <c r="J161" s="75">
        <f>EFEITO!$J$161*EFEITO!$Y$74</f>
        <v>0</v>
      </c>
      <c r="K161" s="75">
        <f ca="1">EFEITO!$L$161*EFEITO!$Z$151</f>
        <v>2320.5569619934627</v>
      </c>
      <c r="L161" s="75">
        <f>EFEITO!$N$161*EFEITO!$AA$151</f>
        <v>578.93784114929258</v>
      </c>
      <c r="M161" s="75">
        <f>$J$161-EFEITO!$K$161*EFEITO!$Y$161</f>
        <v>0</v>
      </c>
      <c r="N161" s="75">
        <f ca="1">$K$161-EFEITO!$M$161*EFEITO!$Z$161</f>
        <v>0</v>
      </c>
      <c r="O161" s="75">
        <f>$L$161-EFEITO!$O$161*EFEITO!$AA$161</f>
        <v>0</v>
      </c>
      <c r="P161" s="57"/>
      <c r="Q161" s="57"/>
      <c r="R161" s="57"/>
      <c r="S161" s="57"/>
      <c r="T161" s="57"/>
      <c r="U161" s="57"/>
      <c r="V161" s="57"/>
      <c r="W161" s="57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53" t="s">
        <v>21</v>
      </c>
      <c r="B162" s="53" t="s">
        <v>22</v>
      </c>
      <c r="C162" s="53" t="s">
        <v>23</v>
      </c>
      <c r="D162" s="53" t="s">
        <v>24</v>
      </c>
      <c r="E162" s="53" t="s">
        <v>32</v>
      </c>
      <c r="F162" s="53" t="s">
        <v>25</v>
      </c>
      <c r="G162" s="53" t="s">
        <v>25</v>
      </c>
      <c r="H162" s="53" t="s">
        <v>25</v>
      </c>
      <c r="I162" s="74">
        <v>44621</v>
      </c>
      <c r="J162" s="75">
        <f>EFEITO!$J$162*EFEITO!$Y$74</f>
        <v>0</v>
      </c>
      <c r="K162" s="75">
        <f ca="1">EFEITO!$L$162*EFEITO!$Z$151</f>
        <v>3871.8185192699034</v>
      </c>
      <c r="L162" s="75">
        <f>EFEITO!$N$162*EFEITO!$AA$151</f>
        <v>965.95011093474</v>
      </c>
      <c r="M162" s="75">
        <f>$J$162-EFEITO!$K$162*EFEITO!$Y$162</f>
        <v>0</v>
      </c>
      <c r="N162" s="75">
        <f ca="1">$K$162-EFEITO!$M$162*EFEITO!$Z$162</f>
        <v>0</v>
      </c>
      <c r="O162" s="75">
        <f>$L$162-EFEITO!$O$162*EFEITO!$AA$162</f>
        <v>0</v>
      </c>
      <c r="P162" s="57"/>
      <c r="Q162" s="57"/>
      <c r="R162" s="57"/>
      <c r="S162" s="57"/>
      <c r="T162" s="57"/>
      <c r="U162" s="57"/>
      <c r="V162" s="57"/>
      <c r="W162" s="57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53" t="s">
        <v>21</v>
      </c>
      <c r="B163" s="53" t="s">
        <v>40</v>
      </c>
      <c r="C163" s="53" t="s">
        <v>23</v>
      </c>
      <c r="D163" s="53" t="s">
        <v>41</v>
      </c>
      <c r="E163" s="53" t="s">
        <v>49</v>
      </c>
      <c r="F163" s="53" t="s">
        <v>50</v>
      </c>
      <c r="G163" s="53" t="s">
        <v>25</v>
      </c>
      <c r="H163" s="53" t="s">
        <v>25</v>
      </c>
      <c r="I163" s="74">
        <v>44287</v>
      </c>
      <c r="J163" s="75">
        <f>EFEITO!$J$163*EFEITO!$Y$74</f>
        <v>0</v>
      </c>
      <c r="K163" s="75">
        <f ca="1">EFEITO!$L$163*EFEITO!$Z$74</f>
        <v>52.323548283441994</v>
      </c>
      <c r="L163" s="75">
        <f>EFEITO!$N$163*EFEITO!$AA$74</f>
        <v>11.289739491990886</v>
      </c>
      <c r="M163" s="75">
        <f>$J$163-EFEITO!$K$163*EFEITO!$Y$163</f>
        <v>0</v>
      </c>
      <c r="N163" s="75">
        <f ca="1">$K$163-EFEITO!$M$163*EFEITO!$Z$163</f>
        <v>3.1394128970065154</v>
      </c>
      <c r="O163" s="75">
        <f>$L$163-EFEITO!$O$163*EFEITO!$AA$163</f>
        <v>0.67738436951945502</v>
      </c>
      <c r="P163" s="57"/>
      <c r="Q163" s="57"/>
      <c r="R163" s="57"/>
      <c r="S163" s="57"/>
      <c r="T163" s="57"/>
      <c r="U163" s="57"/>
      <c r="V163" s="57"/>
      <c r="W163" s="57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53" t="s">
        <v>21</v>
      </c>
      <c r="B164" s="53" t="s">
        <v>40</v>
      </c>
      <c r="C164" s="53" t="s">
        <v>23</v>
      </c>
      <c r="D164" s="53" t="s">
        <v>41</v>
      </c>
      <c r="E164" s="53" t="s">
        <v>49</v>
      </c>
      <c r="F164" s="53" t="s">
        <v>50</v>
      </c>
      <c r="G164" s="53" t="s">
        <v>25</v>
      </c>
      <c r="H164" s="53" t="s">
        <v>25</v>
      </c>
      <c r="I164" s="74">
        <v>44317</v>
      </c>
      <c r="J164" s="75">
        <f>EFEITO!$J$164*EFEITO!$Y$74</f>
        <v>0</v>
      </c>
      <c r="K164" s="75">
        <f ca="1">EFEITO!$L$164*EFEITO!$Z$74</f>
        <v>62.788257940130393</v>
      </c>
      <c r="L164" s="75">
        <f>EFEITO!$N$164*EFEITO!$AA$74</f>
        <v>13.547687390389061</v>
      </c>
      <c r="M164" s="75">
        <f>$J$164-EFEITO!$K$164*EFEITO!$Y$164</f>
        <v>0</v>
      </c>
      <c r="N164" s="75">
        <f ca="1">$K$164-EFEITO!$M$164*EFEITO!$Z$164</f>
        <v>3.7672954764078241</v>
      </c>
      <c r="O164" s="75">
        <f>$L$164-EFEITO!$O$164*EFEITO!$AA$164</f>
        <v>0.81286124342334531</v>
      </c>
      <c r="P164" s="57"/>
      <c r="Q164" s="57"/>
      <c r="R164" s="57"/>
      <c r="S164" s="57"/>
      <c r="T164" s="57"/>
      <c r="U164" s="57"/>
      <c r="V164" s="57"/>
      <c r="W164" s="57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53" t="s">
        <v>21</v>
      </c>
      <c r="B165" s="53" t="s">
        <v>40</v>
      </c>
      <c r="C165" s="53" t="s">
        <v>23</v>
      </c>
      <c r="D165" s="53" t="s">
        <v>41</v>
      </c>
      <c r="E165" s="53" t="s">
        <v>49</v>
      </c>
      <c r="F165" s="53" t="s">
        <v>50</v>
      </c>
      <c r="G165" s="53" t="s">
        <v>25</v>
      </c>
      <c r="H165" s="53" t="s">
        <v>25</v>
      </c>
      <c r="I165" s="74">
        <v>44348</v>
      </c>
      <c r="J165" s="75">
        <f>EFEITO!$J$165*EFEITO!$Y$74</f>
        <v>0</v>
      </c>
      <c r="K165" s="75">
        <f ca="1">EFEITO!$L$165*EFEITO!$Z$74</f>
        <v>52.323548283441994</v>
      </c>
      <c r="L165" s="75">
        <f>EFEITO!$N$165*EFEITO!$AA$74</f>
        <v>11.289739491990886</v>
      </c>
      <c r="M165" s="75">
        <f>$J$165-EFEITO!$K$165*EFEITO!$Y$165</f>
        <v>0</v>
      </c>
      <c r="N165" s="75">
        <f ca="1">$K$165-EFEITO!$M$165*EFEITO!$Z$165</f>
        <v>3.1394128970065154</v>
      </c>
      <c r="O165" s="75">
        <f>$L$165-EFEITO!$O$165*EFEITO!$AA$165</f>
        <v>0.67738436951945502</v>
      </c>
      <c r="P165" s="57"/>
      <c r="Q165" s="57"/>
      <c r="R165" s="57"/>
      <c r="S165" s="57"/>
      <c r="T165" s="57"/>
      <c r="U165" s="57"/>
      <c r="V165" s="57"/>
      <c r="W165" s="57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53" t="s">
        <v>21</v>
      </c>
      <c r="B166" s="53" t="s">
        <v>40</v>
      </c>
      <c r="C166" s="53" t="s">
        <v>23</v>
      </c>
      <c r="D166" s="53" t="s">
        <v>41</v>
      </c>
      <c r="E166" s="53" t="s">
        <v>49</v>
      </c>
      <c r="F166" s="53" t="s">
        <v>50</v>
      </c>
      <c r="G166" s="53" t="s">
        <v>25</v>
      </c>
      <c r="H166" s="53" t="s">
        <v>25</v>
      </c>
      <c r="I166" s="74">
        <v>44378</v>
      </c>
      <c r="J166" s="75">
        <f>EFEITO!$J$166*EFEITO!$Y$74</f>
        <v>0</v>
      </c>
      <c r="K166" s="75">
        <f ca="1">EFEITO!$L$166*EFEITO!$Z$74</f>
        <v>52.323548283441994</v>
      </c>
      <c r="L166" s="75">
        <f>EFEITO!$N$166*EFEITO!$AA$74</f>
        <v>11.289739491990886</v>
      </c>
      <c r="M166" s="75">
        <f>$J$166-EFEITO!$K$166*EFEITO!$Y$166</f>
        <v>0</v>
      </c>
      <c r="N166" s="75">
        <f ca="1">$K$166-EFEITO!$M$166*EFEITO!$Z$166</f>
        <v>3.1394128970065154</v>
      </c>
      <c r="O166" s="75">
        <f>$L$166-EFEITO!$O$166*EFEITO!$AA$166</f>
        <v>0.67738436951945502</v>
      </c>
      <c r="P166" s="57"/>
      <c r="Q166" s="57"/>
      <c r="R166" s="57"/>
      <c r="S166" s="57"/>
      <c r="T166" s="57"/>
      <c r="U166" s="57"/>
      <c r="V166" s="57"/>
      <c r="W166" s="57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53" t="s">
        <v>21</v>
      </c>
      <c r="B167" s="53" t="s">
        <v>40</v>
      </c>
      <c r="C167" s="53" t="s">
        <v>23</v>
      </c>
      <c r="D167" s="53" t="s">
        <v>41</v>
      </c>
      <c r="E167" s="53" t="s">
        <v>49</v>
      </c>
      <c r="F167" s="53" t="s">
        <v>50</v>
      </c>
      <c r="G167" s="53" t="s">
        <v>25</v>
      </c>
      <c r="H167" s="53" t="s">
        <v>25</v>
      </c>
      <c r="I167" s="74">
        <v>44409</v>
      </c>
      <c r="J167" s="75">
        <f>EFEITO!$J$167*EFEITO!$Y$74</f>
        <v>0</v>
      </c>
      <c r="K167" s="75">
        <f ca="1">EFEITO!$L$167*EFEITO!$Z$74</f>
        <v>181.03947706070929</v>
      </c>
      <c r="L167" s="75">
        <f>EFEITO!$N$167*EFEITO!$AA$74</f>
        <v>39.06249864228846</v>
      </c>
      <c r="M167" s="75">
        <f>$J$167-EFEITO!$K$167*EFEITO!$Y$167</f>
        <v>0</v>
      </c>
      <c r="N167" s="75">
        <f ca="1">$K$167-EFEITO!$M$167*EFEITO!$Z$167</f>
        <v>10.862368623642567</v>
      </c>
      <c r="O167" s="75">
        <f>$L$167-EFEITO!$O$167*EFEITO!$AA$167</f>
        <v>2.3437499185373127</v>
      </c>
      <c r="P167" s="57"/>
      <c r="Q167" s="57"/>
      <c r="R167" s="57"/>
      <c r="S167" s="57"/>
      <c r="T167" s="57"/>
      <c r="U167" s="57"/>
      <c r="V167" s="57"/>
      <c r="W167" s="57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53" t="s">
        <v>21</v>
      </c>
      <c r="B168" s="53" t="s">
        <v>40</v>
      </c>
      <c r="C168" s="53" t="s">
        <v>23</v>
      </c>
      <c r="D168" s="53" t="s">
        <v>41</v>
      </c>
      <c r="E168" s="53" t="s">
        <v>49</v>
      </c>
      <c r="F168" s="53" t="s">
        <v>50</v>
      </c>
      <c r="G168" s="53" t="s">
        <v>25</v>
      </c>
      <c r="H168" s="53" t="s">
        <v>25</v>
      </c>
      <c r="I168" s="74">
        <v>44440</v>
      </c>
      <c r="J168" s="75">
        <f>EFEITO!$J$168*EFEITO!$Y$74</f>
        <v>0</v>
      </c>
      <c r="K168" s="75">
        <f ca="1">EFEITO!$L$168*EFEITO!$Z$74</f>
        <v>132.90181263994268</v>
      </c>
      <c r="L168" s="75">
        <f>EFEITO!$N$168*EFEITO!$AA$74</f>
        <v>28.675938309656846</v>
      </c>
      <c r="M168" s="75">
        <f>$J$168-EFEITO!$K$168*EFEITO!$Y$168</f>
        <v>0</v>
      </c>
      <c r="N168" s="75">
        <f ca="1">$K$168-EFEITO!$M$168*EFEITO!$Z$168</f>
        <v>7.974108758396568</v>
      </c>
      <c r="O168" s="75">
        <f>$L$168-EFEITO!$O$168*EFEITO!$AA$168</f>
        <v>1.7205562985794138</v>
      </c>
      <c r="P168" s="57"/>
      <c r="Q168" s="57"/>
      <c r="R168" s="57"/>
      <c r="S168" s="57"/>
      <c r="T168" s="57"/>
      <c r="U168" s="57"/>
      <c r="V168" s="57"/>
      <c r="W168" s="57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53" t="s">
        <v>21</v>
      </c>
      <c r="B169" s="53" t="s">
        <v>40</v>
      </c>
      <c r="C169" s="53" t="s">
        <v>23</v>
      </c>
      <c r="D169" s="53" t="s">
        <v>41</v>
      </c>
      <c r="E169" s="53" t="s">
        <v>49</v>
      </c>
      <c r="F169" s="53" t="s">
        <v>50</v>
      </c>
      <c r="G169" s="53" t="s">
        <v>25</v>
      </c>
      <c r="H169" s="53" t="s">
        <v>25</v>
      </c>
      <c r="I169" s="74">
        <v>44470</v>
      </c>
      <c r="J169" s="75">
        <f>EFEITO!$J$169*EFEITO!$Y$74</f>
        <v>0</v>
      </c>
      <c r="K169" s="75">
        <f ca="1">EFEITO!$L$169*EFEITO!$Z$74</f>
        <v>52.323548283441994</v>
      </c>
      <c r="L169" s="75">
        <f>EFEITO!$N$169*EFEITO!$AA$74</f>
        <v>11.289739491990886</v>
      </c>
      <c r="M169" s="75">
        <f>$J$169-EFEITO!$K$169*EFEITO!$Y$169</f>
        <v>0</v>
      </c>
      <c r="N169" s="75">
        <f ca="1">$K$169-EFEITO!$M$169*EFEITO!$Z$169</f>
        <v>3.1394128970065154</v>
      </c>
      <c r="O169" s="75">
        <f>$L$169-EFEITO!$O$169*EFEITO!$AA$169</f>
        <v>0.67738436951945502</v>
      </c>
      <c r="P169" s="57"/>
      <c r="Q169" s="57"/>
      <c r="R169" s="57"/>
      <c r="S169" s="57"/>
      <c r="T169" s="57"/>
      <c r="U169" s="57"/>
      <c r="V169" s="57"/>
      <c r="W169" s="57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53" t="s">
        <v>21</v>
      </c>
      <c r="B170" s="53" t="s">
        <v>40</v>
      </c>
      <c r="C170" s="53" t="s">
        <v>23</v>
      </c>
      <c r="D170" s="53" t="s">
        <v>41</v>
      </c>
      <c r="E170" s="53" t="s">
        <v>49</v>
      </c>
      <c r="F170" s="53" t="s">
        <v>50</v>
      </c>
      <c r="G170" s="53" t="s">
        <v>25</v>
      </c>
      <c r="H170" s="53" t="s">
        <v>25</v>
      </c>
      <c r="I170" s="74">
        <v>44501</v>
      </c>
      <c r="J170" s="75">
        <f>EFEITO!$J$170*EFEITO!$Y$74</f>
        <v>0</v>
      </c>
      <c r="K170" s="75">
        <f ca="1">EFEITO!$L$170*EFEITO!$Z$74</f>
        <v>52.323548283441994</v>
      </c>
      <c r="L170" s="75">
        <f>EFEITO!$N$170*EFEITO!$AA$74</f>
        <v>11.289739491990886</v>
      </c>
      <c r="M170" s="75">
        <f>$J$170-EFEITO!$K$170*EFEITO!$Y$170</f>
        <v>0</v>
      </c>
      <c r="N170" s="75">
        <f ca="1">$K$170-EFEITO!$M$170*EFEITO!$Z$170</f>
        <v>3.1394128970065154</v>
      </c>
      <c r="O170" s="75">
        <f>$L$170-EFEITO!$O$170*EFEITO!$AA$170</f>
        <v>0.67738436951945502</v>
      </c>
      <c r="P170" s="57"/>
      <c r="Q170" s="57"/>
      <c r="R170" s="57"/>
      <c r="S170" s="57"/>
      <c r="T170" s="57"/>
      <c r="U170" s="57"/>
      <c r="V170" s="57"/>
      <c r="W170" s="57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53" t="s">
        <v>21</v>
      </c>
      <c r="B171" s="53" t="s">
        <v>40</v>
      </c>
      <c r="C171" s="53" t="s">
        <v>23</v>
      </c>
      <c r="D171" s="53" t="s">
        <v>41</v>
      </c>
      <c r="E171" s="53" t="s">
        <v>49</v>
      </c>
      <c r="F171" s="53" t="s">
        <v>50</v>
      </c>
      <c r="G171" s="53" t="s">
        <v>25</v>
      </c>
      <c r="H171" s="53" t="s">
        <v>25</v>
      </c>
      <c r="I171" s="74">
        <v>44531</v>
      </c>
      <c r="J171" s="75">
        <f>EFEITO!$J$171*EFEITO!$Y$74</f>
        <v>0</v>
      </c>
      <c r="K171" s="75">
        <f ca="1">EFEITO!$L$171*EFEITO!$Z$74</f>
        <v>52.323548283441994</v>
      </c>
      <c r="L171" s="75">
        <f>EFEITO!$N$171*EFEITO!$AA$74</f>
        <v>11.289739491990886</v>
      </c>
      <c r="M171" s="75">
        <f>$J$171-EFEITO!$K$171*EFEITO!$Y$171</f>
        <v>0</v>
      </c>
      <c r="N171" s="75">
        <f ca="1">$K$171-EFEITO!$M$171*EFEITO!$Z$171</f>
        <v>3.1394128970065154</v>
      </c>
      <c r="O171" s="75">
        <f>$L$171-EFEITO!$O$171*EFEITO!$AA$171</f>
        <v>0.67738436951945502</v>
      </c>
      <c r="P171" s="57"/>
      <c r="Q171" s="57"/>
      <c r="R171" s="57"/>
      <c r="S171" s="57"/>
      <c r="T171" s="57"/>
      <c r="U171" s="57"/>
      <c r="V171" s="57"/>
      <c r="W171" s="57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53" t="s">
        <v>21</v>
      </c>
      <c r="B172" s="53" t="s">
        <v>40</v>
      </c>
      <c r="C172" s="53" t="s">
        <v>23</v>
      </c>
      <c r="D172" s="53" t="s">
        <v>41</v>
      </c>
      <c r="E172" s="53" t="s">
        <v>49</v>
      </c>
      <c r="F172" s="53" t="s">
        <v>50</v>
      </c>
      <c r="G172" s="53" t="s">
        <v>25</v>
      </c>
      <c r="H172" s="53" t="s">
        <v>25</v>
      </c>
      <c r="I172" s="74">
        <v>44562</v>
      </c>
      <c r="J172" s="75">
        <f>EFEITO!$J$172*EFEITO!$Y$74</f>
        <v>0</v>
      </c>
      <c r="K172" s="75">
        <f ca="1">EFEITO!$L$172*EFEITO!$Z$74</f>
        <v>52.323548283441994</v>
      </c>
      <c r="L172" s="75">
        <f>EFEITO!$N$172*EFEITO!$AA$74</f>
        <v>11.289739491990886</v>
      </c>
      <c r="M172" s="75">
        <f>$J$172-EFEITO!$K$172*EFEITO!$Y$172</f>
        <v>0</v>
      </c>
      <c r="N172" s="75">
        <f ca="1">$K$172-EFEITO!$M$172*EFEITO!$Z$172</f>
        <v>3.1394128970065154</v>
      </c>
      <c r="O172" s="75">
        <f>$L$172-EFEITO!$O$172*EFEITO!$AA$172</f>
        <v>0.67738436951945502</v>
      </c>
      <c r="P172" s="57"/>
      <c r="Q172" s="57"/>
      <c r="R172" s="57"/>
      <c r="S172" s="57"/>
      <c r="T172" s="57"/>
      <c r="U172" s="57"/>
      <c r="V172" s="57"/>
      <c r="W172" s="57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53" t="s">
        <v>21</v>
      </c>
      <c r="B173" s="53" t="s">
        <v>40</v>
      </c>
      <c r="C173" s="53" t="s">
        <v>23</v>
      </c>
      <c r="D173" s="53" t="s">
        <v>41</v>
      </c>
      <c r="E173" s="53" t="s">
        <v>49</v>
      </c>
      <c r="F173" s="53" t="s">
        <v>50</v>
      </c>
      <c r="G173" s="53" t="s">
        <v>25</v>
      </c>
      <c r="H173" s="53" t="s">
        <v>25</v>
      </c>
      <c r="I173" s="74">
        <v>44593</v>
      </c>
      <c r="J173" s="75">
        <f>EFEITO!$J$173*EFEITO!$Y$74</f>
        <v>0</v>
      </c>
      <c r="K173" s="75">
        <f ca="1">EFEITO!$L$173*EFEITO!$Z$74</f>
        <v>52.323548283441994</v>
      </c>
      <c r="L173" s="75">
        <f>EFEITO!$N$173*EFEITO!$AA$74</f>
        <v>11.289739491990886</v>
      </c>
      <c r="M173" s="75">
        <f>$J$173-EFEITO!$K$173*EFEITO!$Y$173</f>
        <v>0</v>
      </c>
      <c r="N173" s="75">
        <f ca="1">$K$173-EFEITO!$M$173*EFEITO!$Z$173</f>
        <v>3.1394128970065154</v>
      </c>
      <c r="O173" s="75">
        <f>$L$173-EFEITO!$O$173*EFEITO!$AA$173</f>
        <v>0.67738436951945502</v>
      </c>
      <c r="P173" s="57"/>
      <c r="Q173" s="57"/>
      <c r="R173" s="57"/>
      <c r="S173" s="57"/>
      <c r="T173" s="57"/>
      <c r="U173" s="57"/>
      <c r="V173" s="57"/>
      <c r="W173" s="57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53" t="s">
        <v>21</v>
      </c>
      <c r="B174" s="53" t="s">
        <v>40</v>
      </c>
      <c r="C174" s="53" t="s">
        <v>23</v>
      </c>
      <c r="D174" s="53" t="s">
        <v>41</v>
      </c>
      <c r="E174" s="53" t="s">
        <v>49</v>
      </c>
      <c r="F174" s="53" t="s">
        <v>50</v>
      </c>
      <c r="G174" s="53" t="s">
        <v>25</v>
      </c>
      <c r="H174" s="53" t="s">
        <v>25</v>
      </c>
      <c r="I174" s="74">
        <v>44621</v>
      </c>
      <c r="J174" s="75">
        <f>EFEITO!$J$174*EFEITO!$Y$74</f>
        <v>0</v>
      </c>
      <c r="K174" s="75">
        <f ca="1">EFEITO!$L$174*EFEITO!$Z$74</f>
        <v>52.323548283441994</v>
      </c>
      <c r="L174" s="75">
        <f>EFEITO!$N$174*EFEITO!$AA$74</f>
        <v>11.289739491990886</v>
      </c>
      <c r="M174" s="75">
        <f>$J$174-EFEITO!$K$174*EFEITO!$Y$174</f>
        <v>0</v>
      </c>
      <c r="N174" s="75">
        <f ca="1">$K$174-EFEITO!$M$174*EFEITO!$Z$174</f>
        <v>3.1394128970065154</v>
      </c>
      <c r="O174" s="75">
        <f>$L$174-EFEITO!$O$174*EFEITO!$AA$174</f>
        <v>0.67738436951945502</v>
      </c>
      <c r="P174" s="57"/>
      <c r="Q174" s="57"/>
      <c r="R174" s="57"/>
      <c r="S174" s="57"/>
      <c r="T174" s="57"/>
      <c r="U174" s="57"/>
      <c r="V174" s="57"/>
      <c r="W174" s="57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53" t="s">
        <v>21</v>
      </c>
      <c r="B175" s="53" t="s">
        <v>40</v>
      </c>
      <c r="C175" s="53" t="s">
        <v>23</v>
      </c>
      <c r="D175" s="53" t="s">
        <v>41</v>
      </c>
      <c r="E175" s="53" t="s">
        <v>25</v>
      </c>
      <c r="F175" s="53" t="s">
        <v>25</v>
      </c>
      <c r="G175" s="53" t="s">
        <v>25</v>
      </c>
      <c r="H175" s="53" t="s">
        <v>25</v>
      </c>
      <c r="I175" s="74">
        <v>44287</v>
      </c>
      <c r="J175" s="75">
        <f>EFEITO!$J$175*EFEITO!$Y$74</f>
        <v>0</v>
      </c>
      <c r="K175" s="75">
        <f ca="1">EFEITO!$L$175*EFEITO!$Z$74</f>
        <v>133239.82276185369</v>
      </c>
      <c r="L175" s="75">
        <f>EFEITO!$N$175*EFEITO!$AA$74</f>
        <v>28748.870026775108</v>
      </c>
      <c r="M175" s="75">
        <f>$J$175-EFEITO!$K$175*EFEITO!$Y$175</f>
        <v>0</v>
      </c>
      <c r="N175" s="75">
        <f ca="1">$K$175-EFEITO!$M$175*EFEITO!$Z$175</f>
        <v>7994.3893657112203</v>
      </c>
      <c r="O175" s="75">
        <f>$L$175-EFEITO!$O$175*EFEITO!$AA$175</f>
        <v>1724.9322016065125</v>
      </c>
      <c r="P175" s="57"/>
      <c r="Q175" s="57"/>
      <c r="R175" s="57"/>
      <c r="S175" s="57"/>
      <c r="T175" s="57"/>
      <c r="U175" s="57"/>
      <c r="V175" s="57"/>
      <c r="W175" s="57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53" t="s">
        <v>27</v>
      </c>
      <c r="B176" s="53" t="s">
        <v>40</v>
      </c>
      <c r="C176" s="53" t="s">
        <v>23</v>
      </c>
      <c r="D176" s="53" t="s">
        <v>41</v>
      </c>
      <c r="E176" s="53" t="s">
        <v>25</v>
      </c>
      <c r="F176" s="53" t="s">
        <v>25</v>
      </c>
      <c r="G176" s="53" t="s">
        <v>25</v>
      </c>
      <c r="H176" s="53" t="s">
        <v>25</v>
      </c>
      <c r="I176" s="74">
        <v>44287</v>
      </c>
      <c r="J176" s="75">
        <f>EFEITO!$J$176*EFEITO!$Y$74</f>
        <v>0</v>
      </c>
      <c r="K176" s="75">
        <f ca="1">EFEITO!$L$176*EFEITO!$Z$74</f>
        <v>-1022.4021334584565</v>
      </c>
      <c r="L176" s="75">
        <f>EFEITO!$N$176*EFEITO!$AA$74</f>
        <v>-220.60150967350188</v>
      </c>
      <c r="M176" s="75">
        <f>$J$176-EFEITO!$K$176*EFEITO!$Y$176</f>
        <v>0</v>
      </c>
      <c r="N176" s="75">
        <f ca="1">$K$176-EFEITO!$M$176*EFEITO!$Z$176</f>
        <v>-61.344128007507379</v>
      </c>
      <c r="O176" s="75">
        <f>$L$176-EFEITO!$O$176*EFEITO!$AA$176</f>
        <v>-13.236090580410121</v>
      </c>
      <c r="P176" s="57"/>
      <c r="Q176" s="57"/>
      <c r="R176" s="57"/>
      <c r="S176" s="57"/>
      <c r="T176" s="57"/>
      <c r="U176" s="57"/>
      <c r="V176" s="57"/>
      <c r="W176" s="57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53" t="s">
        <v>21</v>
      </c>
      <c r="B177" s="53" t="s">
        <v>40</v>
      </c>
      <c r="C177" s="53" t="s">
        <v>23</v>
      </c>
      <c r="D177" s="53" t="s">
        <v>41</v>
      </c>
      <c r="E177" s="53" t="s">
        <v>25</v>
      </c>
      <c r="F177" s="53" t="s">
        <v>25</v>
      </c>
      <c r="G177" s="53" t="s">
        <v>25</v>
      </c>
      <c r="H177" s="53" t="s">
        <v>25</v>
      </c>
      <c r="I177" s="74">
        <v>44317</v>
      </c>
      <c r="J177" s="75">
        <f>EFEITO!$J$177*EFEITO!$Y$74</f>
        <v>0</v>
      </c>
      <c r="K177" s="75">
        <f ca="1">EFEITO!$L$177*EFEITO!$Z$74</f>
        <v>130218.66108396776</v>
      </c>
      <c r="L177" s="75">
        <f>EFEITO!$N$177*EFEITO!$AA$74</f>
        <v>28097.000468507555</v>
      </c>
      <c r="M177" s="75">
        <f>$J$177-EFEITO!$K$177*EFEITO!$Y$177</f>
        <v>0</v>
      </c>
      <c r="N177" s="75">
        <f ca="1">$K$177-EFEITO!$M$177*EFEITO!$Z$177</f>
        <v>7813.1196650380589</v>
      </c>
      <c r="O177" s="75">
        <f>$L$177-EFEITO!$O$177*EFEITO!$AA$177</f>
        <v>1685.8200281104546</v>
      </c>
      <c r="P177" s="57"/>
      <c r="Q177" s="57"/>
      <c r="R177" s="57"/>
      <c r="S177" s="57"/>
      <c r="T177" s="57"/>
      <c r="U177" s="57"/>
      <c r="V177" s="57"/>
      <c r="W177" s="57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53" t="s">
        <v>27</v>
      </c>
      <c r="B178" s="53" t="s">
        <v>40</v>
      </c>
      <c r="C178" s="53" t="s">
        <v>23</v>
      </c>
      <c r="D178" s="53" t="s">
        <v>41</v>
      </c>
      <c r="E178" s="53" t="s">
        <v>25</v>
      </c>
      <c r="F178" s="53" t="s">
        <v>25</v>
      </c>
      <c r="G178" s="53" t="s">
        <v>25</v>
      </c>
      <c r="H178" s="53" t="s">
        <v>25</v>
      </c>
      <c r="I178" s="74">
        <v>44317</v>
      </c>
      <c r="J178" s="75">
        <f>EFEITO!$J$178*EFEITO!$Y$74</f>
        <v>0</v>
      </c>
      <c r="K178" s="75">
        <f ca="1">EFEITO!$L$178*EFEITO!$Z$74</f>
        <v>-82.671206287838345</v>
      </c>
      <c r="L178" s="75">
        <f>EFEITO!$N$178*EFEITO!$AA$74</f>
        <v>-17.837788397345598</v>
      </c>
      <c r="M178" s="75">
        <f>$J$178-EFEITO!$K$178*EFEITO!$Y$178</f>
        <v>0</v>
      </c>
      <c r="N178" s="75">
        <f ca="1">$K$178-EFEITO!$M$178*EFEITO!$Z$178</f>
        <v>-4.9602723772703001</v>
      </c>
      <c r="O178" s="75">
        <f>$L$178-EFEITO!$O$178*EFEITO!$AA$178</f>
        <v>-1.0702673038407369</v>
      </c>
      <c r="P178" s="57"/>
      <c r="Q178" s="57"/>
      <c r="R178" s="57"/>
      <c r="S178" s="57"/>
      <c r="T178" s="57"/>
      <c r="U178" s="57"/>
      <c r="V178" s="57"/>
      <c r="W178" s="57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53" t="s">
        <v>21</v>
      </c>
      <c r="B179" s="53" t="s">
        <v>40</v>
      </c>
      <c r="C179" s="53" t="s">
        <v>23</v>
      </c>
      <c r="D179" s="53" t="s">
        <v>41</v>
      </c>
      <c r="E179" s="53" t="s">
        <v>25</v>
      </c>
      <c r="F179" s="53" t="s">
        <v>25</v>
      </c>
      <c r="G179" s="53" t="s">
        <v>25</v>
      </c>
      <c r="H179" s="53" t="s">
        <v>25</v>
      </c>
      <c r="I179" s="74">
        <v>44348</v>
      </c>
      <c r="J179" s="75">
        <f>EFEITO!$J$179*EFEITO!$Y$74</f>
        <v>0</v>
      </c>
      <c r="K179" s="75">
        <f ca="1">EFEITO!$L$179*EFEITO!$Z$74</f>
        <v>135703.21541503814</v>
      </c>
      <c r="L179" s="75">
        <f>EFEITO!$N$179*EFEITO!$AA$74</f>
        <v>29280.390962058038</v>
      </c>
      <c r="M179" s="75">
        <f>$J$179-EFEITO!$K$179*EFEITO!$Y$179</f>
        <v>0</v>
      </c>
      <c r="N179" s="75">
        <f ca="1">$K$179-EFEITO!$M$179*EFEITO!$Z$179</f>
        <v>8142.1929249022796</v>
      </c>
      <c r="O179" s="75">
        <f>$L$179-EFEITO!$O$179*EFEITO!$AA$179</f>
        <v>1756.8234577234871</v>
      </c>
      <c r="P179" s="57"/>
      <c r="Q179" s="57"/>
      <c r="R179" s="57"/>
      <c r="S179" s="57"/>
      <c r="T179" s="57"/>
      <c r="U179" s="57"/>
      <c r="V179" s="57"/>
      <c r="W179" s="57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53" t="s">
        <v>27</v>
      </c>
      <c r="B180" s="53" t="s">
        <v>40</v>
      </c>
      <c r="C180" s="53" t="s">
        <v>23</v>
      </c>
      <c r="D180" s="53" t="s">
        <v>41</v>
      </c>
      <c r="E180" s="53" t="s">
        <v>25</v>
      </c>
      <c r="F180" s="53" t="s">
        <v>25</v>
      </c>
      <c r="G180" s="53" t="s">
        <v>25</v>
      </c>
      <c r="H180" s="53" t="s">
        <v>25</v>
      </c>
      <c r="I180" s="74">
        <v>44348</v>
      </c>
      <c r="J180" s="75">
        <f>EFEITO!$J$180*EFEITO!$Y$74</f>
        <v>0</v>
      </c>
      <c r="K180" s="75">
        <f ca="1">EFEITO!$L$180*EFEITO!$Z$74</f>
        <v>-252.19950272619042</v>
      </c>
      <c r="L180" s="75">
        <f>EFEITO!$N$180*EFEITO!$AA$74</f>
        <v>-54.416544351396062</v>
      </c>
      <c r="M180" s="75">
        <f>$J$180-EFEITO!$K$180*EFEITO!$Y$180</f>
        <v>0</v>
      </c>
      <c r="N180" s="75">
        <f ca="1">$K$180-EFEITO!$M$180*EFEITO!$Z$180</f>
        <v>-15.131970163571452</v>
      </c>
      <c r="O180" s="75">
        <f>$L$180-EFEITO!$O$180*EFEITO!$AA$180</f>
        <v>-3.2649926610837667</v>
      </c>
      <c r="P180" s="57"/>
      <c r="Q180" s="57"/>
      <c r="R180" s="57"/>
      <c r="S180" s="57"/>
      <c r="T180" s="57"/>
      <c r="U180" s="57"/>
      <c r="V180" s="57"/>
      <c r="W180" s="57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53" t="s">
        <v>21</v>
      </c>
      <c r="B181" s="53" t="s">
        <v>40</v>
      </c>
      <c r="C181" s="53" t="s">
        <v>23</v>
      </c>
      <c r="D181" s="53" t="s">
        <v>41</v>
      </c>
      <c r="E181" s="53" t="s">
        <v>25</v>
      </c>
      <c r="F181" s="53" t="s">
        <v>25</v>
      </c>
      <c r="G181" s="53" t="s">
        <v>25</v>
      </c>
      <c r="H181" s="53" t="s">
        <v>25</v>
      </c>
      <c r="I181" s="74">
        <v>44378</v>
      </c>
      <c r="J181" s="75">
        <f>EFEITO!$J$181*EFEITO!$Y$74</f>
        <v>0</v>
      </c>
      <c r="K181" s="75">
        <f ca="1">EFEITO!$L$181*EFEITO!$Z$74</f>
        <v>124217.15009585695</v>
      </c>
      <c r="L181" s="75">
        <f>EFEITO!$N$181*EFEITO!$AA$74</f>
        <v>26802.0673487762</v>
      </c>
      <c r="M181" s="75">
        <f>$J$181-EFEITO!$K$181*EFEITO!$Y$181</f>
        <v>0</v>
      </c>
      <c r="N181" s="75">
        <f ca="1">$K$181-EFEITO!$M$181*EFEITO!$Z$181</f>
        <v>7453.0290057514067</v>
      </c>
      <c r="O181" s="75">
        <f>$L$181-EFEITO!$O$181*EFEITO!$AA$181</f>
        <v>1608.1240409265774</v>
      </c>
      <c r="P181" s="57"/>
      <c r="Q181" s="57"/>
      <c r="R181" s="57"/>
      <c r="S181" s="57"/>
      <c r="T181" s="57"/>
      <c r="U181" s="57"/>
      <c r="V181" s="57"/>
      <c r="W181" s="57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53" t="s">
        <v>27</v>
      </c>
      <c r="B182" s="53" t="s">
        <v>40</v>
      </c>
      <c r="C182" s="53" t="s">
        <v>23</v>
      </c>
      <c r="D182" s="53" t="s">
        <v>41</v>
      </c>
      <c r="E182" s="53" t="s">
        <v>25</v>
      </c>
      <c r="F182" s="53" t="s">
        <v>25</v>
      </c>
      <c r="G182" s="53" t="s">
        <v>25</v>
      </c>
      <c r="H182" s="53" t="s">
        <v>25</v>
      </c>
      <c r="I182" s="74">
        <v>44378</v>
      </c>
      <c r="J182" s="75">
        <f>EFEITO!$J$182*EFEITO!$Y$74</f>
        <v>0</v>
      </c>
      <c r="K182" s="75">
        <f ca="1">EFEITO!$L$182*EFEITO!$Z$74</f>
        <v>-237.54890920682666</v>
      </c>
      <c r="L182" s="75">
        <f>EFEITO!$N$182*EFEITO!$AA$74</f>
        <v>-51.255417293638615</v>
      </c>
      <c r="M182" s="75">
        <f>$J$182-EFEITO!$K$182*EFEITO!$Y$182</f>
        <v>0</v>
      </c>
      <c r="N182" s="75">
        <f ca="1">$K$182-EFEITO!$M$182*EFEITO!$Z$182</f>
        <v>-14.252934552409613</v>
      </c>
      <c r="O182" s="75">
        <f>$L$182-EFEITO!$O$182*EFEITO!$AA$182</f>
        <v>-3.0753250376183203</v>
      </c>
      <c r="P182" s="57"/>
      <c r="Q182" s="57"/>
      <c r="R182" s="57"/>
      <c r="S182" s="57"/>
      <c r="T182" s="57"/>
      <c r="U182" s="57"/>
      <c r="V182" s="57"/>
      <c r="W182" s="57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53" t="s">
        <v>21</v>
      </c>
      <c r="B183" s="53" t="s">
        <v>40</v>
      </c>
      <c r="C183" s="53" t="s">
        <v>23</v>
      </c>
      <c r="D183" s="53" t="s">
        <v>41</v>
      </c>
      <c r="E183" s="53" t="s">
        <v>25</v>
      </c>
      <c r="F183" s="53" t="s">
        <v>25</v>
      </c>
      <c r="G183" s="53" t="s">
        <v>25</v>
      </c>
      <c r="H183" s="53" t="s">
        <v>25</v>
      </c>
      <c r="I183" s="74">
        <v>44409</v>
      </c>
      <c r="J183" s="75">
        <f>EFEITO!$J$183*EFEITO!$Y$74</f>
        <v>0</v>
      </c>
      <c r="K183" s="75">
        <f ca="1">EFEITO!$L$183*EFEITO!$Z$74</f>
        <v>127893.40259825159</v>
      </c>
      <c r="L183" s="75">
        <f>EFEITO!$N$183*EFEITO!$AA$74</f>
        <v>27595.284445483481</v>
      </c>
      <c r="M183" s="75">
        <f>$J$183-EFEITO!$K$183*EFEITO!$Y$183</f>
        <v>0</v>
      </c>
      <c r="N183" s="75">
        <f ca="1">$K$183-EFEITO!$M$183*EFEITO!$Z$183</f>
        <v>7673.6041558950819</v>
      </c>
      <c r="O183" s="75">
        <f>$L$183-EFEITO!$O$183*EFEITO!$AA$183</f>
        <v>1655.717066729012</v>
      </c>
      <c r="P183" s="57"/>
      <c r="Q183" s="57"/>
      <c r="R183" s="57"/>
      <c r="S183" s="57"/>
      <c r="T183" s="57"/>
      <c r="U183" s="57"/>
      <c r="V183" s="57"/>
      <c r="W183" s="57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53" t="s">
        <v>21</v>
      </c>
      <c r="B184" s="53" t="s">
        <v>40</v>
      </c>
      <c r="C184" s="53" t="s">
        <v>23</v>
      </c>
      <c r="D184" s="53" t="s">
        <v>41</v>
      </c>
      <c r="E184" s="53" t="s">
        <v>25</v>
      </c>
      <c r="F184" s="53" t="s">
        <v>25</v>
      </c>
      <c r="G184" s="53" t="s">
        <v>25</v>
      </c>
      <c r="H184" s="53" t="s">
        <v>25</v>
      </c>
      <c r="I184" s="74">
        <v>44440</v>
      </c>
      <c r="J184" s="75">
        <f>EFEITO!$J$184*EFEITO!$Y$74</f>
        <v>0</v>
      </c>
      <c r="K184" s="75">
        <f ca="1">EFEITO!$L$184*EFEITO!$Z$74</f>
        <v>137340.94247630987</v>
      </c>
      <c r="L184" s="75">
        <f>EFEITO!$N$184*EFEITO!$AA$74</f>
        <v>29633.759808157352</v>
      </c>
      <c r="M184" s="75">
        <f>$J$184-EFEITO!$K$184*EFEITO!$Y$184</f>
        <v>0</v>
      </c>
      <c r="N184" s="75">
        <f ca="1">$K$184-EFEITO!$M$184*EFEITO!$Z$184</f>
        <v>8240.4565485785861</v>
      </c>
      <c r="O184" s="75">
        <f>$L$184-EFEITO!$O$184*EFEITO!$AA$184</f>
        <v>1778.0255884894432</v>
      </c>
      <c r="P184" s="57"/>
      <c r="Q184" s="57"/>
      <c r="R184" s="57"/>
      <c r="S184" s="57"/>
      <c r="T184" s="57"/>
      <c r="U184" s="57"/>
      <c r="V184" s="57"/>
      <c r="W184" s="57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53" t="s">
        <v>21</v>
      </c>
      <c r="B185" s="53" t="s">
        <v>40</v>
      </c>
      <c r="C185" s="53" t="s">
        <v>23</v>
      </c>
      <c r="D185" s="53" t="s">
        <v>41</v>
      </c>
      <c r="E185" s="53" t="s">
        <v>25</v>
      </c>
      <c r="F185" s="53" t="s">
        <v>25</v>
      </c>
      <c r="G185" s="53" t="s">
        <v>25</v>
      </c>
      <c r="H185" s="53" t="s">
        <v>25</v>
      </c>
      <c r="I185" s="74">
        <v>44470</v>
      </c>
      <c r="J185" s="75">
        <f>EFEITO!$J$185*EFEITO!$Y$74</f>
        <v>0</v>
      </c>
      <c r="K185" s="75">
        <f ca="1">EFEITO!$L$185*EFEITO!$Z$74</f>
        <v>122077.11697106418</v>
      </c>
      <c r="L185" s="75">
        <f>EFEITO!$N$185*EFEITO!$AA$74</f>
        <v>26340.317003553773</v>
      </c>
      <c r="M185" s="75">
        <f>$J$185-EFEITO!$K$185*EFEITO!$Y$185</f>
        <v>0</v>
      </c>
      <c r="N185" s="75">
        <f ca="1">$K$185-EFEITO!$M$185*EFEITO!$Z$185</f>
        <v>7324.62701826384</v>
      </c>
      <c r="O185" s="75">
        <f>$L$185-EFEITO!$O$185*EFEITO!$AA$185</f>
        <v>1580.4190202132268</v>
      </c>
      <c r="P185" s="57"/>
      <c r="Q185" s="57"/>
      <c r="R185" s="57"/>
      <c r="S185" s="57"/>
      <c r="T185" s="57"/>
      <c r="U185" s="57"/>
      <c r="V185" s="57"/>
      <c r="W185" s="57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53" t="s">
        <v>28</v>
      </c>
      <c r="B186" s="53" t="s">
        <v>40</v>
      </c>
      <c r="C186" s="53" t="s">
        <v>23</v>
      </c>
      <c r="D186" s="53" t="s">
        <v>41</v>
      </c>
      <c r="E186" s="53" t="s">
        <v>25</v>
      </c>
      <c r="F186" s="53" t="s">
        <v>25</v>
      </c>
      <c r="G186" s="53" t="s">
        <v>25</v>
      </c>
      <c r="H186" s="53" t="s">
        <v>25</v>
      </c>
      <c r="I186" s="74">
        <v>44470</v>
      </c>
      <c r="J186" s="75">
        <f>EFEITO!$J$186*EFEITO!$Y$74</f>
        <v>0</v>
      </c>
      <c r="K186" s="75">
        <f ca="1">EFEITO!$L$186*EFEITO!$Z$74</f>
        <v>1368.7840230948427</v>
      </c>
      <c r="L186" s="75">
        <f>EFEITO!$N$186*EFEITO!$AA$74</f>
        <v>295.33958511048155</v>
      </c>
      <c r="M186" s="75">
        <f>$J$186-EFEITO!$K$186*EFEITO!$Y$186</f>
        <v>0</v>
      </c>
      <c r="N186" s="75">
        <f ca="1">$K$186-EFEITO!$M$186*EFEITO!$Z$186</f>
        <v>82.127041385690745</v>
      </c>
      <c r="O186" s="75">
        <f>$L$186-EFEITO!$O$186*EFEITO!$AA$186</f>
        <v>17.720375106628921</v>
      </c>
      <c r="P186" s="57"/>
      <c r="Q186" s="57"/>
      <c r="R186" s="57"/>
      <c r="S186" s="57"/>
      <c r="T186" s="57"/>
      <c r="U186" s="57"/>
      <c r="V186" s="57"/>
      <c r="W186" s="57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53" t="s">
        <v>21</v>
      </c>
      <c r="B187" s="53" t="s">
        <v>40</v>
      </c>
      <c r="C187" s="53" t="s">
        <v>23</v>
      </c>
      <c r="D187" s="53" t="s">
        <v>41</v>
      </c>
      <c r="E187" s="53" t="s">
        <v>25</v>
      </c>
      <c r="F187" s="53" t="s">
        <v>25</v>
      </c>
      <c r="G187" s="53" t="s">
        <v>25</v>
      </c>
      <c r="H187" s="53" t="s">
        <v>25</v>
      </c>
      <c r="I187" s="74">
        <v>44501</v>
      </c>
      <c r="J187" s="75">
        <f>EFEITO!$J$187*EFEITO!$Y$74</f>
        <v>0</v>
      </c>
      <c r="K187" s="75">
        <f ca="1">EFEITO!$L$187*EFEITO!$Z$74</f>
        <v>130932.3542825539</v>
      </c>
      <c r="L187" s="75">
        <f>EFEITO!$N$187*EFEITO!$AA$74</f>
        <v>28250.99251517831</v>
      </c>
      <c r="M187" s="75">
        <f>$J$187-EFEITO!$K$187*EFEITO!$Y$187</f>
        <v>0</v>
      </c>
      <c r="N187" s="75">
        <f ca="1">$K$187-EFEITO!$M$187*EFEITO!$Z$187</f>
        <v>7855.9412569532287</v>
      </c>
      <c r="O187" s="75">
        <f>$L$187-EFEITO!$O$187*EFEITO!$AA$187</f>
        <v>1695.0595509107006</v>
      </c>
      <c r="P187" s="57"/>
      <c r="Q187" s="57"/>
      <c r="R187" s="57"/>
      <c r="S187" s="57"/>
      <c r="T187" s="57"/>
      <c r="U187" s="57"/>
      <c r="V187" s="57"/>
      <c r="W187" s="57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53" t="s">
        <v>27</v>
      </c>
      <c r="B188" s="53" t="s">
        <v>40</v>
      </c>
      <c r="C188" s="53" t="s">
        <v>23</v>
      </c>
      <c r="D188" s="53" t="s">
        <v>41</v>
      </c>
      <c r="E188" s="53" t="s">
        <v>25</v>
      </c>
      <c r="F188" s="53" t="s">
        <v>25</v>
      </c>
      <c r="G188" s="53" t="s">
        <v>25</v>
      </c>
      <c r="H188" s="53" t="s">
        <v>25</v>
      </c>
      <c r="I188" s="74">
        <v>44501</v>
      </c>
      <c r="J188" s="75">
        <f>EFEITO!$J$188*EFEITO!$Y$74</f>
        <v>0</v>
      </c>
      <c r="K188" s="75">
        <f ca="1">EFEITO!$L$188*EFEITO!$Z$74</f>
        <v>-838.22324350074075</v>
      </c>
      <c r="L188" s="75">
        <f>EFEITO!$N$188*EFEITO!$AA$74</f>
        <v>-180.86162666169398</v>
      </c>
      <c r="M188" s="75">
        <f>$J$188-EFEITO!$K$188*EFEITO!$Y$188</f>
        <v>0</v>
      </c>
      <c r="N188" s="75">
        <f ca="1">$K$188-EFEITO!$M$188*EFEITO!$Z$188</f>
        <v>-50.293394610044402</v>
      </c>
      <c r="O188" s="75">
        <f>$L$188-EFEITO!$O$188*EFEITO!$AA$188</f>
        <v>-10.851697599701652</v>
      </c>
      <c r="P188" s="57"/>
      <c r="Q188" s="57"/>
      <c r="R188" s="57"/>
      <c r="S188" s="57"/>
      <c r="T188" s="57"/>
      <c r="U188" s="57"/>
      <c r="V188" s="57"/>
      <c r="W188" s="57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53" t="s">
        <v>28</v>
      </c>
      <c r="B189" s="53" t="s">
        <v>40</v>
      </c>
      <c r="C189" s="53" t="s">
        <v>23</v>
      </c>
      <c r="D189" s="53" t="s">
        <v>41</v>
      </c>
      <c r="E189" s="53" t="s">
        <v>25</v>
      </c>
      <c r="F189" s="53" t="s">
        <v>25</v>
      </c>
      <c r="G189" s="53" t="s">
        <v>25</v>
      </c>
      <c r="H189" s="53" t="s">
        <v>25</v>
      </c>
      <c r="I189" s="74">
        <v>44501</v>
      </c>
      <c r="J189" s="75">
        <f>EFEITO!$J$189*EFEITO!$Y$74</f>
        <v>0</v>
      </c>
      <c r="K189" s="75">
        <f ca="1">EFEITO!$L$189*EFEITO!$Z$74</f>
        <v>920.8944497885791</v>
      </c>
      <c r="L189" s="75">
        <f>EFEITO!$N$189*EFEITO!$AA$74</f>
        <v>198.69941505903958</v>
      </c>
      <c r="M189" s="75">
        <f>$J$189-EFEITO!$K$189*EFEITO!$Y$189</f>
        <v>0</v>
      </c>
      <c r="N189" s="75">
        <f ca="1">$K$189-EFEITO!$M$189*EFEITO!$Z$189</f>
        <v>55.253666987314773</v>
      </c>
      <c r="O189" s="75">
        <f>$L$189-EFEITO!$O$189*EFEITO!$AA$189</f>
        <v>11.921964903542403</v>
      </c>
      <c r="P189" s="57"/>
      <c r="Q189" s="57"/>
      <c r="R189" s="57"/>
      <c r="S189" s="57"/>
      <c r="T189" s="57"/>
      <c r="U189" s="57"/>
      <c r="V189" s="57"/>
      <c r="W189" s="57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53" t="s">
        <v>21</v>
      </c>
      <c r="B190" s="53" t="s">
        <v>40</v>
      </c>
      <c r="C190" s="53" t="s">
        <v>23</v>
      </c>
      <c r="D190" s="53" t="s">
        <v>41</v>
      </c>
      <c r="E190" s="53" t="s">
        <v>25</v>
      </c>
      <c r="F190" s="53" t="s">
        <v>25</v>
      </c>
      <c r="G190" s="53" t="s">
        <v>25</v>
      </c>
      <c r="H190" s="53" t="s">
        <v>25</v>
      </c>
      <c r="I190" s="74">
        <v>44531</v>
      </c>
      <c r="J190" s="75">
        <f>EFEITO!$J$190*EFEITO!$Y$74</f>
        <v>0</v>
      </c>
      <c r="K190" s="75">
        <f ca="1">EFEITO!$L$190*EFEITO!$Z$74</f>
        <v>135348.46175767641</v>
      </c>
      <c r="L190" s="75">
        <f>EFEITO!$N$190*EFEITO!$AA$74</f>
        <v>29203.84652830234</v>
      </c>
      <c r="M190" s="75">
        <f>$J$190-EFEITO!$K$190*EFEITO!$Y$190</f>
        <v>0</v>
      </c>
      <c r="N190" s="75">
        <f ca="1">$K$190-EFEITO!$M$190*EFEITO!$Z$190</f>
        <v>8120.9077054605877</v>
      </c>
      <c r="O190" s="75">
        <f>$L$190-EFEITO!$O$190*EFEITO!$AA$190</f>
        <v>1752.2307916981445</v>
      </c>
      <c r="P190" s="57"/>
      <c r="Q190" s="57"/>
      <c r="R190" s="57"/>
      <c r="S190" s="57"/>
      <c r="T190" s="57"/>
      <c r="U190" s="57"/>
      <c r="V190" s="57"/>
      <c r="W190" s="57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53" t="s">
        <v>28</v>
      </c>
      <c r="B191" s="53" t="s">
        <v>40</v>
      </c>
      <c r="C191" s="53" t="s">
        <v>23</v>
      </c>
      <c r="D191" s="53" t="s">
        <v>41</v>
      </c>
      <c r="E191" s="53" t="s">
        <v>25</v>
      </c>
      <c r="F191" s="53" t="s">
        <v>25</v>
      </c>
      <c r="G191" s="53" t="s">
        <v>25</v>
      </c>
      <c r="H191" s="53" t="s">
        <v>25</v>
      </c>
      <c r="I191" s="74">
        <v>44531</v>
      </c>
      <c r="J191" s="75">
        <f>EFEITO!$J$191*EFEITO!$Y$74</f>
        <v>0</v>
      </c>
      <c r="K191" s="75">
        <f ca="1">EFEITO!$L$191*EFEITO!$Z$74</f>
        <v>831.94441770672779</v>
      </c>
      <c r="L191" s="75">
        <f>EFEITO!$N$191*EFEITO!$AA$74</f>
        <v>179.50685792265509</v>
      </c>
      <c r="M191" s="75">
        <f>$J$191-EFEITO!$K$191*EFEITO!$Y$191</f>
        <v>0</v>
      </c>
      <c r="N191" s="75">
        <f ca="1">$K$191-EFEITO!$M$191*EFEITO!$Z$191</f>
        <v>49.916665062403695</v>
      </c>
      <c r="O191" s="75">
        <f>$L$191-EFEITO!$O$191*EFEITO!$AA$191</f>
        <v>10.770411475359339</v>
      </c>
      <c r="P191" s="57"/>
      <c r="Q191" s="57"/>
      <c r="R191" s="57"/>
      <c r="S191" s="57"/>
      <c r="T191" s="57"/>
      <c r="U191" s="57"/>
      <c r="V191" s="57"/>
      <c r="W191" s="57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53" t="s">
        <v>21</v>
      </c>
      <c r="B192" s="53" t="s">
        <v>40</v>
      </c>
      <c r="C192" s="53" t="s">
        <v>23</v>
      </c>
      <c r="D192" s="53" t="s">
        <v>41</v>
      </c>
      <c r="E192" s="53" t="s">
        <v>25</v>
      </c>
      <c r="F192" s="53" t="s">
        <v>25</v>
      </c>
      <c r="G192" s="53" t="s">
        <v>25</v>
      </c>
      <c r="H192" s="53" t="s">
        <v>25</v>
      </c>
      <c r="I192" s="74">
        <v>44562</v>
      </c>
      <c r="J192" s="75">
        <f>EFEITO!$J$192*EFEITO!$Y$74</f>
        <v>0</v>
      </c>
      <c r="K192" s="75">
        <f ca="1">EFEITO!$L$192*EFEITO!$Z$74</f>
        <v>138304.74223569091</v>
      </c>
      <c r="L192" s="75">
        <f>EFEITO!$N$192*EFEITO!$AA$74</f>
        <v>29841.716809599828</v>
      </c>
      <c r="M192" s="75">
        <f>$J$192-EFEITO!$K$192*EFEITO!$Y$192</f>
        <v>0</v>
      </c>
      <c r="N192" s="75">
        <f ca="1">$K$192-EFEITO!$M$192*EFEITO!$Z$192</f>
        <v>8298.284534141465</v>
      </c>
      <c r="O192" s="75">
        <f>$L$192-EFEITO!$O$192*EFEITO!$AA$192</f>
        <v>1790.5030085759936</v>
      </c>
      <c r="P192" s="57"/>
      <c r="Q192" s="57"/>
      <c r="R192" s="57"/>
      <c r="S192" s="57"/>
      <c r="T192" s="57"/>
      <c r="U192" s="57"/>
      <c r="V192" s="57"/>
      <c r="W192" s="57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53" t="s">
        <v>28</v>
      </c>
      <c r="B193" s="53" t="s">
        <v>40</v>
      </c>
      <c r="C193" s="53" t="s">
        <v>23</v>
      </c>
      <c r="D193" s="53" t="s">
        <v>41</v>
      </c>
      <c r="E193" s="53" t="s">
        <v>25</v>
      </c>
      <c r="F193" s="53" t="s">
        <v>25</v>
      </c>
      <c r="G193" s="53" t="s">
        <v>25</v>
      </c>
      <c r="H193" s="53" t="s">
        <v>25</v>
      </c>
      <c r="I193" s="74">
        <v>44562</v>
      </c>
      <c r="J193" s="75">
        <f>EFEITO!$J$193*EFEITO!$Y$74</f>
        <v>0</v>
      </c>
      <c r="K193" s="75">
        <f ca="1">EFEITO!$L$193*EFEITO!$Z$74</f>
        <v>2016.5495508438546</v>
      </c>
      <c r="L193" s="75">
        <f>EFEITO!$N$193*EFEITO!$AA$74</f>
        <v>435.10656002132873</v>
      </c>
      <c r="M193" s="75">
        <f>$J$193-EFEITO!$K$193*EFEITO!$Y$193</f>
        <v>0</v>
      </c>
      <c r="N193" s="75">
        <f ca="1">$K$193-EFEITO!$M$193*EFEITO!$Z$193</f>
        <v>120.99297305063146</v>
      </c>
      <c r="O193" s="75">
        <f>$L$193-EFEITO!$O$193*EFEITO!$AA$193</f>
        <v>26.106393601279819</v>
      </c>
      <c r="P193" s="57"/>
      <c r="Q193" s="57"/>
      <c r="R193" s="57"/>
      <c r="S193" s="57"/>
      <c r="T193" s="57"/>
      <c r="U193" s="57"/>
      <c r="V193" s="57"/>
      <c r="W193" s="57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53" t="s">
        <v>21</v>
      </c>
      <c r="B194" s="53" t="s">
        <v>40</v>
      </c>
      <c r="C194" s="53" t="s">
        <v>23</v>
      </c>
      <c r="D194" s="53" t="s">
        <v>41</v>
      </c>
      <c r="E194" s="53" t="s">
        <v>25</v>
      </c>
      <c r="F194" s="53" t="s">
        <v>25</v>
      </c>
      <c r="G194" s="53" t="s">
        <v>25</v>
      </c>
      <c r="H194" s="53" t="s">
        <v>25</v>
      </c>
      <c r="I194" s="74">
        <v>44593</v>
      </c>
      <c r="J194" s="75">
        <f>EFEITO!$J$194*EFEITO!$Y$74</f>
        <v>0</v>
      </c>
      <c r="K194" s="75">
        <f ca="1">EFEITO!$L$194*EFEITO!$Z$74</f>
        <v>137615.11786931512</v>
      </c>
      <c r="L194" s="75">
        <f>EFEITO!$N$194*EFEITO!$AA$74</f>
        <v>29692.918043095386</v>
      </c>
      <c r="M194" s="75">
        <f>$J$194-EFEITO!$K$194*EFEITO!$Y$194</f>
        <v>0</v>
      </c>
      <c r="N194" s="75">
        <f ca="1">$K$194-EFEITO!$M$194*EFEITO!$Z$194</f>
        <v>8256.9070721589087</v>
      </c>
      <c r="O194" s="75">
        <f>$L$194-EFEITO!$O$194*EFEITO!$AA$194</f>
        <v>1781.5750825857285</v>
      </c>
      <c r="P194" s="57"/>
      <c r="Q194" s="57"/>
      <c r="R194" s="57"/>
      <c r="S194" s="57"/>
      <c r="T194" s="57"/>
      <c r="U194" s="57"/>
      <c r="V194" s="57"/>
      <c r="W194" s="57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53" t="s">
        <v>28</v>
      </c>
      <c r="B195" s="53" t="s">
        <v>40</v>
      </c>
      <c r="C195" s="53" t="s">
        <v>23</v>
      </c>
      <c r="D195" s="53" t="s">
        <v>41</v>
      </c>
      <c r="E195" s="53" t="s">
        <v>25</v>
      </c>
      <c r="F195" s="53" t="s">
        <v>25</v>
      </c>
      <c r="G195" s="53" t="s">
        <v>25</v>
      </c>
      <c r="H195" s="53" t="s">
        <v>25</v>
      </c>
      <c r="I195" s="74">
        <v>44593</v>
      </c>
      <c r="J195" s="75">
        <f>EFEITO!$J$195*EFEITO!$Y$74</f>
        <v>0</v>
      </c>
      <c r="K195" s="75">
        <f ca="1">EFEITO!$L$195*EFEITO!$Z$74</f>
        <v>330.68482515135338</v>
      </c>
      <c r="L195" s="75">
        <f>EFEITO!$N$195*EFEITO!$AA$74</f>
        <v>71.351153589382392</v>
      </c>
      <c r="M195" s="75">
        <f>$J$195-EFEITO!$K$195*EFEITO!$Y$195</f>
        <v>0</v>
      </c>
      <c r="N195" s="75">
        <f ca="1">$K$195-EFEITO!$M$195*EFEITO!$Z$195</f>
        <v>19.841089509081201</v>
      </c>
      <c r="O195" s="75">
        <f>$L$195-EFEITO!$O$195*EFEITO!$AA$195</f>
        <v>4.2810692153629475</v>
      </c>
      <c r="P195" s="57"/>
      <c r="Q195" s="57"/>
      <c r="R195" s="57"/>
      <c r="S195" s="57"/>
      <c r="T195" s="57"/>
      <c r="U195" s="57"/>
      <c r="V195" s="57"/>
      <c r="W195" s="57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53" t="s">
        <v>21</v>
      </c>
      <c r="B196" s="53" t="s">
        <v>40</v>
      </c>
      <c r="C196" s="53" t="s">
        <v>23</v>
      </c>
      <c r="D196" s="53" t="s">
        <v>41</v>
      </c>
      <c r="E196" s="53" t="s">
        <v>25</v>
      </c>
      <c r="F196" s="53" t="s">
        <v>25</v>
      </c>
      <c r="G196" s="53" t="s">
        <v>25</v>
      </c>
      <c r="H196" s="53" t="s">
        <v>25</v>
      </c>
      <c r="I196" s="74">
        <v>44621</v>
      </c>
      <c r="J196" s="75">
        <f>EFEITO!$J$196*EFEITO!$Y$74</f>
        <v>0</v>
      </c>
      <c r="K196" s="75">
        <f ca="1">EFEITO!$L$196*EFEITO!$Z$74</f>
        <v>128292.10803617143</v>
      </c>
      <c r="L196" s="75">
        <f>EFEITO!$N$196*EFEITO!$AA$74</f>
        <v>27681.312260412451</v>
      </c>
      <c r="M196" s="75">
        <f>$J$196-EFEITO!$K$196*EFEITO!$Y$196</f>
        <v>0</v>
      </c>
      <c r="N196" s="75">
        <f ca="1">$K$196-EFEITO!$M$196*EFEITO!$Z$196</f>
        <v>7697.5264821702876</v>
      </c>
      <c r="O196" s="75">
        <f>$L$196-EFEITO!$O$196*EFEITO!$AA$196</f>
        <v>1660.8787356247522</v>
      </c>
      <c r="P196" s="57"/>
      <c r="Q196" s="57"/>
      <c r="R196" s="57"/>
      <c r="S196" s="57"/>
      <c r="T196" s="57"/>
      <c r="U196" s="57"/>
      <c r="V196" s="57"/>
      <c r="W196" s="57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53" t="s">
        <v>28</v>
      </c>
      <c r="B197" s="53" t="s">
        <v>40</v>
      </c>
      <c r="C197" s="53" t="s">
        <v>23</v>
      </c>
      <c r="D197" s="53" t="s">
        <v>41</v>
      </c>
      <c r="E197" s="53" t="s">
        <v>25</v>
      </c>
      <c r="F197" s="53" t="s">
        <v>25</v>
      </c>
      <c r="G197" s="53" t="s">
        <v>25</v>
      </c>
      <c r="H197" s="53" t="s">
        <v>25</v>
      </c>
      <c r="I197" s="74">
        <v>44621</v>
      </c>
      <c r="J197" s="75">
        <f>EFEITO!$J$197*EFEITO!$Y$74</f>
        <v>0</v>
      </c>
      <c r="K197" s="75">
        <f ca="1">EFEITO!$L$197*EFEITO!$Z$74</f>
        <v>1525.7546679451684</v>
      </c>
      <c r="L197" s="75">
        <f>EFEITO!$N$197*EFEITO!$AA$74</f>
        <v>329.20880358645417</v>
      </c>
      <c r="M197" s="75">
        <f>$J$197-EFEITO!$K$197*EFEITO!$Y$197</f>
        <v>0</v>
      </c>
      <c r="N197" s="75">
        <f ca="1">$K$197-EFEITO!$M$197*EFEITO!$Z$197</f>
        <v>91.545280076710014</v>
      </c>
      <c r="O197" s="75">
        <f>$L$197-EFEITO!$O$197*EFEITO!$AA$197</f>
        <v>19.752528215187283</v>
      </c>
      <c r="P197" s="57"/>
      <c r="Q197" s="57"/>
      <c r="R197" s="57"/>
      <c r="S197" s="57"/>
      <c r="T197" s="57"/>
      <c r="U197" s="57"/>
      <c r="V197" s="57"/>
      <c r="W197" s="57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53" t="s">
        <v>21</v>
      </c>
      <c r="B198" s="53" t="s">
        <v>33</v>
      </c>
      <c r="C198" s="53" t="s">
        <v>23</v>
      </c>
      <c r="D198" s="53" t="s">
        <v>35</v>
      </c>
      <c r="E198" s="53" t="s">
        <v>25</v>
      </c>
      <c r="F198" s="53" t="s">
        <v>25</v>
      </c>
      <c r="G198" s="53" t="s">
        <v>25</v>
      </c>
      <c r="H198" s="53" t="s">
        <v>25</v>
      </c>
      <c r="I198" s="74">
        <v>44287</v>
      </c>
      <c r="J198" s="75">
        <f>EFEITO!$J$198*EFEITO!$Y$198</f>
        <v>0</v>
      </c>
      <c r="K198" s="75">
        <f ca="1">EFEITO!$L$198*EFEITO!$Z$198</f>
        <v>484669.88833662617</v>
      </c>
      <c r="L198" s="75">
        <f>EFEITO!$N$198*EFEITO!$AA$198</f>
        <v>104576.17952994205</v>
      </c>
      <c r="M198" s="75">
        <f>$J$198-EFEITO!$K$198*EFEITO!$Y$198</f>
        <v>0</v>
      </c>
      <c r="N198" s="75">
        <f ca="1">$K$198-EFEITO!$M$198*EFEITO!$Z$198</f>
        <v>0</v>
      </c>
      <c r="O198" s="75">
        <f>$L$198-EFEITO!$O$198*EFEITO!$AA$198</f>
        <v>0</v>
      </c>
      <c r="P198" s="57"/>
      <c r="Q198" s="57"/>
      <c r="R198" s="57"/>
      <c r="S198" s="57"/>
      <c r="T198" s="57"/>
      <c r="U198" s="57"/>
      <c r="V198" s="57"/>
      <c r="W198" s="57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53" t="s">
        <v>27</v>
      </c>
      <c r="B199" s="53" t="s">
        <v>33</v>
      </c>
      <c r="C199" s="53" t="s">
        <v>23</v>
      </c>
      <c r="D199" s="53" t="s">
        <v>35</v>
      </c>
      <c r="E199" s="53" t="s">
        <v>25</v>
      </c>
      <c r="F199" s="53" t="s">
        <v>25</v>
      </c>
      <c r="G199" s="53" t="s">
        <v>25</v>
      </c>
      <c r="H199" s="53" t="s">
        <v>25</v>
      </c>
      <c r="I199" s="74">
        <v>44287</v>
      </c>
      <c r="J199" s="75">
        <f>EFEITO!$J$199*EFEITO!$Y$199</f>
        <v>0</v>
      </c>
      <c r="K199" s="75">
        <f ca="1">EFEITO!$L$199*EFEITO!$Z$199</f>
        <v>-2451.8814725620919</v>
      </c>
      <c r="L199" s="75">
        <f>EFEITO!$N$199*EFEITO!$AA$199</f>
        <v>-529.0371925946929</v>
      </c>
      <c r="M199" s="75">
        <f>$J$199-EFEITO!$K$199*EFEITO!$Y$199</f>
        <v>0</v>
      </c>
      <c r="N199" s="75">
        <f ca="1">$K$199-EFEITO!$M$199*EFEITO!$Z$199</f>
        <v>0</v>
      </c>
      <c r="O199" s="75">
        <f>$L$199-EFEITO!$O$199*EFEITO!$AA$199</f>
        <v>0</v>
      </c>
      <c r="P199" s="57"/>
      <c r="Q199" s="57"/>
      <c r="R199" s="57"/>
      <c r="S199" s="57"/>
      <c r="T199" s="57"/>
      <c r="U199" s="57"/>
      <c r="V199" s="57"/>
      <c r="W199" s="57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53" t="s">
        <v>28</v>
      </c>
      <c r="B200" s="53" t="s">
        <v>33</v>
      </c>
      <c r="C200" s="53" t="s">
        <v>23</v>
      </c>
      <c r="D200" s="53" t="s">
        <v>35</v>
      </c>
      <c r="E200" s="53" t="s">
        <v>25</v>
      </c>
      <c r="F200" s="53" t="s">
        <v>25</v>
      </c>
      <c r="G200" s="53" t="s">
        <v>25</v>
      </c>
      <c r="H200" s="53" t="s">
        <v>25</v>
      </c>
      <c r="I200" s="74">
        <v>44287</v>
      </c>
      <c r="J200" s="75">
        <f>EFEITO!$J$200*EFEITO!$Y$200</f>
        <v>0</v>
      </c>
      <c r="K200" s="75">
        <f ca="1">EFEITO!$L$200*EFEITO!$Z$200</f>
        <v>155.92417388465714</v>
      </c>
      <c r="L200" s="75">
        <f>EFEITO!$N$200*EFEITO!$AA$200</f>
        <v>33.643423686132834</v>
      </c>
      <c r="M200" s="75">
        <f>$J$200-EFEITO!$K$200*EFEITO!$Y$200</f>
        <v>0</v>
      </c>
      <c r="N200" s="75">
        <f ca="1">$K$200-EFEITO!$M$200*EFEITO!$Z$200</f>
        <v>0</v>
      </c>
      <c r="O200" s="75">
        <f>$L$200-EFEITO!$O$200*EFEITO!$AA$200</f>
        <v>0</v>
      </c>
      <c r="P200" s="57"/>
      <c r="Q200" s="57"/>
      <c r="R200" s="57"/>
      <c r="S200" s="57"/>
      <c r="T200" s="57"/>
      <c r="U200" s="57"/>
      <c r="V200" s="57"/>
      <c r="W200" s="57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53" t="s">
        <v>21</v>
      </c>
      <c r="B201" s="53" t="s">
        <v>33</v>
      </c>
      <c r="C201" s="53" t="s">
        <v>23</v>
      </c>
      <c r="D201" s="53" t="s">
        <v>35</v>
      </c>
      <c r="E201" s="53" t="s">
        <v>25</v>
      </c>
      <c r="F201" s="53" t="s">
        <v>25</v>
      </c>
      <c r="G201" s="53" t="s">
        <v>25</v>
      </c>
      <c r="H201" s="53" t="s">
        <v>25</v>
      </c>
      <c r="I201" s="74">
        <v>44317</v>
      </c>
      <c r="J201" s="75">
        <f>EFEITO!$J$201*EFEITO!$Y$201</f>
        <v>0</v>
      </c>
      <c r="K201" s="75">
        <f ca="1">EFEITO!$L$201*EFEITO!$Z$201</f>
        <v>457975.4604733797</v>
      </c>
      <c r="L201" s="75">
        <f>EFEITO!$N$201*EFEITO!$AA$201</f>
        <v>98816.380235918128</v>
      </c>
      <c r="M201" s="75">
        <f>$J$201-EFEITO!$K$201*EFEITO!$Y$201</f>
        <v>0</v>
      </c>
      <c r="N201" s="75">
        <f ca="1">$K$201-EFEITO!$M$201*EFEITO!$Z$201</f>
        <v>0</v>
      </c>
      <c r="O201" s="75">
        <f>$L$201-EFEITO!$O$201*EFEITO!$AA$201</f>
        <v>0</v>
      </c>
      <c r="P201" s="57"/>
      <c r="Q201" s="57"/>
      <c r="R201" s="57"/>
      <c r="S201" s="57"/>
      <c r="T201" s="57"/>
      <c r="U201" s="57"/>
      <c r="V201" s="57"/>
      <c r="W201" s="57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53" t="s">
        <v>27</v>
      </c>
      <c r="B202" s="53" t="s">
        <v>33</v>
      </c>
      <c r="C202" s="53" t="s">
        <v>23</v>
      </c>
      <c r="D202" s="53" t="s">
        <v>35</v>
      </c>
      <c r="E202" s="53" t="s">
        <v>25</v>
      </c>
      <c r="F202" s="53" t="s">
        <v>25</v>
      </c>
      <c r="G202" s="53" t="s">
        <v>25</v>
      </c>
      <c r="H202" s="53" t="s">
        <v>25</v>
      </c>
      <c r="I202" s="74">
        <v>44317</v>
      </c>
      <c r="J202" s="75">
        <f>EFEITO!$J$202*EFEITO!$Y$202</f>
        <v>0</v>
      </c>
      <c r="K202" s="75">
        <f ca="1">EFEITO!$L$202*EFEITO!$Z$202</f>
        <v>-10407.153753576613</v>
      </c>
      <c r="L202" s="75">
        <f>EFEITO!$N$202*EFEITO!$AA$202</f>
        <v>-2245.5291849569871</v>
      </c>
      <c r="M202" s="75">
        <f>$J$202-EFEITO!$K$202*EFEITO!$Y$202</f>
        <v>0</v>
      </c>
      <c r="N202" s="75">
        <f ca="1">$K$202-EFEITO!$M$202*EFEITO!$Z$202</f>
        <v>0</v>
      </c>
      <c r="O202" s="75">
        <f>$L$202-EFEITO!$O$202*EFEITO!$AA$202</f>
        <v>0</v>
      </c>
      <c r="P202" s="57"/>
      <c r="Q202" s="57"/>
      <c r="R202" s="57"/>
      <c r="S202" s="57"/>
      <c r="T202" s="57"/>
      <c r="U202" s="57"/>
      <c r="V202" s="57"/>
      <c r="W202" s="57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53" t="s">
        <v>28</v>
      </c>
      <c r="B203" s="53" t="s">
        <v>33</v>
      </c>
      <c r="C203" s="53" t="s">
        <v>23</v>
      </c>
      <c r="D203" s="53" t="s">
        <v>35</v>
      </c>
      <c r="E203" s="53" t="s">
        <v>25</v>
      </c>
      <c r="F203" s="53" t="s">
        <v>25</v>
      </c>
      <c r="G203" s="53" t="s">
        <v>25</v>
      </c>
      <c r="H203" s="53" t="s">
        <v>25</v>
      </c>
      <c r="I203" s="74">
        <v>44317</v>
      </c>
      <c r="J203" s="75">
        <f>EFEITO!$J$203*EFEITO!$Y$203</f>
        <v>0</v>
      </c>
      <c r="K203" s="75">
        <f ca="1">EFEITO!$L$203*EFEITO!$Z$203</f>
        <v>2013.410137946848</v>
      </c>
      <c r="L203" s="75">
        <f>EFEITO!$N$203*EFEITO!$AA$203</f>
        <v>434.42917565180926</v>
      </c>
      <c r="M203" s="75">
        <f>$J$203-EFEITO!$K$203*EFEITO!$Y$203</f>
        <v>0</v>
      </c>
      <c r="N203" s="75">
        <f ca="1">$K$203-EFEITO!$M$203*EFEITO!$Z$203</f>
        <v>0</v>
      </c>
      <c r="O203" s="75">
        <f>$L$203-EFEITO!$O$203*EFEITO!$AA$203</f>
        <v>0</v>
      </c>
      <c r="P203" s="57"/>
      <c r="Q203" s="57"/>
      <c r="R203" s="57"/>
      <c r="S203" s="57"/>
      <c r="T203" s="57"/>
      <c r="U203" s="57"/>
      <c r="V203" s="57"/>
      <c r="W203" s="57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53" t="s">
        <v>21</v>
      </c>
      <c r="B204" s="53" t="s">
        <v>33</v>
      </c>
      <c r="C204" s="53" t="s">
        <v>23</v>
      </c>
      <c r="D204" s="53" t="s">
        <v>35</v>
      </c>
      <c r="E204" s="53" t="s">
        <v>25</v>
      </c>
      <c r="F204" s="53" t="s">
        <v>25</v>
      </c>
      <c r="G204" s="53" t="s">
        <v>25</v>
      </c>
      <c r="H204" s="53" t="s">
        <v>25</v>
      </c>
      <c r="I204" s="74">
        <v>44348</v>
      </c>
      <c r="J204" s="75">
        <f>EFEITO!$J$204*EFEITO!$Y$204</f>
        <v>0</v>
      </c>
      <c r="K204" s="75">
        <f ca="1">EFEITO!$L$204*EFEITO!$Z$204</f>
        <v>468051.92940180498</v>
      </c>
      <c r="L204" s="75">
        <f>EFEITO!$N$204*EFEITO!$AA$204</f>
        <v>100990.55826728574</v>
      </c>
      <c r="M204" s="75">
        <f>$J$204-EFEITO!$K$204*EFEITO!$Y$204</f>
        <v>0</v>
      </c>
      <c r="N204" s="75">
        <f ca="1">$K$204-EFEITO!$M$204*EFEITO!$Z$204</f>
        <v>0</v>
      </c>
      <c r="O204" s="75">
        <f>$L$204-EFEITO!$O$204*EFEITO!$AA$204</f>
        <v>0</v>
      </c>
      <c r="P204" s="57"/>
      <c r="Q204" s="57"/>
      <c r="R204" s="57"/>
      <c r="S204" s="57"/>
      <c r="T204" s="57"/>
      <c r="U204" s="57"/>
      <c r="V204" s="57"/>
      <c r="W204" s="57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53" t="s">
        <v>28</v>
      </c>
      <c r="B205" s="53" t="s">
        <v>33</v>
      </c>
      <c r="C205" s="53" t="s">
        <v>23</v>
      </c>
      <c r="D205" s="53" t="s">
        <v>35</v>
      </c>
      <c r="E205" s="53" t="s">
        <v>25</v>
      </c>
      <c r="F205" s="53" t="s">
        <v>25</v>
      </c>
      <c r="G205" s="53" t="s">
        <v>25</v>
      </c>
      <c r="H205" s="53" t="s">
        <v>25</v>
      </c>
      <c r="I205" s="74">
        <v>44348</v>
      </c>
      <c r="J205" s="75">
        <f>EFEITO!$J$205*EFEITO!$Y$205</f>
        <v>0</v>
      </c>
      <c r="K205" s="75">
        <f ca="1">EFEITO!$L$205*EFEITO!$Z$205</f>
        <v>4776.0934873125852</v>
      </c>
      <c r="L205" s="75">
        <f>EFEITO!$N$205*EFEITO!$AA$205</f>
        <v>1030.5274208289279</v>
      </c>
      <c r="M205" s="75">
        <f>$J$205-EFEITO!$K$205*EFEITO!$Y$205</f>
        <v>0</v>
      </c>
      <c r="N205" s="75">
        <f ca="1">$K$205-EFEITO!$M$205*EFEITO!$Z$205</f>
        <v>0</v>
      </c>
      <c r="O205" s="75">
        <f>$L$205-EFEITO!$O$205*EFEITO!$AA$205</f>
        <v>0</v>
      </c>
      <c r="P205" s="57"/>
      <c r="Q205" s="57"/>
      <c r="R205" s="57"/>
      <c r="S205" s="57"/>
      <c r="T205" s="57"/>
      <c r="U205" s="57"/>
      <c r="V205" s="57"/>
      <c r="W205" s="57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53" t="s">
        <v>21</v>
      </c>
      <c r="B206" s="53" t="s">
        <v>33</v>
      </c>
      <c r="C206" s="53" t="s">
        <v>23</v>
      </c>
      <c r="D206" s="53" t="s">
        <v>35</v>
      </c>
      <c r="E206" s="53" t="s">
        <v>25</v>
      </c>
      <c r="F206" s="53" t="s">
        <v>25</v>
      </c>
      <c r="G206" s="53" t="s">
        <v>25</v>
      </c>
      <c r="H206" s="53" t="s">
        <v>25</v>
      </c>
      <c r="I206" s="74">
        <v>44378</v>
      </c>
      <c r="J206" s="75">
        <f>EFEITO!$J$206*EFEITO!$Y$206</f>
        <v>0</v>
      </c>
      <c r="K206" s="75">
        <f ca="1">EFEITO!$L$206*EFEITO!$Z$206</f>
        <v>438047.51387414808</v>
      </c>
      <c r="L206" s="75">
        <f>EFEITO!$N$206*EFEITO!$AA$206</f>
        <v>94516.57005299849</v>
      </c>
      <c r="M206" s="75">
        <f>$J$206-EFEITO!$K$206*EFEITO!$Y$206</f>
        <v>0</v>
      </c>
      <c r="N206" s="75">
        <f ca="1">$K$206-EFEITO!$M$206*EFEITO!$Z$206</f>
        <v>0</v>
      </c>
      <c r="O206" s="75">
        <f>$L$206-EFEITO!$O$206*EFEITO!$AA$206</f>
        <v>0</v>
      </c>
      <c r="P206" s="57"/>
      <c r="Q206" s="57"/>
      <c r="R206" s="57"/>
      <c r="S206" s="57"/>
      <c r="T206" s="57"/>
      <c r="U206" s="57"/>
      <c r="V206" s="57"/>
      <c r="W206" s="57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53" t="s">
        <v>28</v>
      </c>
      <c r="B207" s="53" t="s">
        <v>33</v>
      </c>
      <c r="C207" s="53" t="s">
        <v>23</v>
      </c>
      <c r="D207" s="53" t="s">
        <v>35</v>
      </c>
      <c r="E207" s="53" t="s">
        <v>25</v>
      </c>
      <c r="F207" s="53" t="s">
        <v>25</v>
      </c>
      <c r="G207" s="53" t="s">
        <v>25</v>
      </c>
      <c r="H207" s="53" t="s">
        <v>25</v>
      </c>
      <c r="I207" s="74">
        <v>44378</v>
      </c>
      <c r="J207" s="75">
        <f>EFEITO!$J$207*EFEITO!$Y$207</f>
        <v>0</v>
      </c>
      <c r="K207" s="75">
        <f ca="1">EFEITO!$L$207*EFEITO!$Z$207</f>
        <v>2163.0554860374923</v>
      </c>
      <c r="L207" s="75">
        <f>EFEITO!$N$207*EFEITO!$AA$207</f>
        <v>466.71783059890322</v>
      </c>
      <c r="M207" s="75">
        <f>$J$207-EFEITO!$K$207*EFEITO!$Y$207</f>
        <v>0</v>
      </c>
      <c r="N207" s="75">
        <f ca="1">$K$207-EFEITO!$M$207*EFEITO!$Z$207</f>
        <v>0</v>
      </c>
      <c r="O207" s="75">
        <f>$L$207-EFEITO!$O$207*EFEITO!$AA$207</f>
        <v>0</v>
      </c>
      <c r="P207" s="57"/>
      <c r="Q207" s="57"/>
      <c r="R207" s="57"/>
      <c r="S207" s="57"/>
      <c r="T207" s="57"/>
      <c r="U207" s="57"/>
      <c r="V207" s="57"/>
      <c r="W207" s="57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53" t="s">
        <v>21</v>
      </c>
      <c r="B208" s="53" t="s">
        <v>33</v>
      </c>
      <c r="C208" s="53" t="s">
        <v>23</v>
      </c>
      <c r="D208" s="53" t="s">
        <v>35</v>
      </c>
      <c r="E208" s="53" t="s">
        <v>25</v>
      </c>
      <c r="F208" s="53" t="s">
        <v>25</v>
      </c>
      <c r="G208" s="53" t="s">
        <v>25</v>
      </c>
      <c r="H208" s="53" t="s">
        <v>25</v>
      </c>
      <c r="I208" s="74">
        <v>44409</v>
      </c>
      <c r="J208" s="75">
        <f>EFEITO!$J$208*EFEITO!$Y$208</f>
        <v>0</v>
      </c>
      <c r="K208" s="75">
        <f ca="1">EFEITO!$L$208*EFEITO!$Z$208</f>
        <v>480970.61347298685</v>
      </c>
      <c r="L208" s="75">
        <f>EFEITO!$N$208*EFEITO!$AA$208</f>
        <v>103777.9949478583</v>
      </c>
      <c r="M208" s="75">
        <f>$J$208-EFEITO!$K$208*EFEITO!$Y$208</f>
        <v>0</v>
      </c>
      <c r="N208" s="75">
        <f ca="1">$K$208-EFEITO!$M$208*EFEITO!$Z$208</f>
        <v>0</v>
      </c>
      <c r="O208" s="75">
        <f>$L$208-EFEITO!$O$208*EFEITO!$AA$208</f>
        <v>0</v>
      </c>
      <c r="P208" s="57"/>
      <c r="Q208" s="57"/>
      <c r="R208" s="57"/>
      <c r="S208" s="57"/>
      <c r="T208" s="57"/>
      <c r="U208" s="57"/>
      <c r="V208" s="57"/>
      <c r="W208" s="57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53" t="s">
        <v>28</v>
      </c>
      <c r="B209" s="53" t="s">
        <v>33</v>
      </c>
      <c r="C209" s="53" t="s">
        <v>23</v>
      </c>
      <c r="D209" s="53" t="s">
        <v>35</v>
      </c>
      <c r="E209" s="53" t="s">
        <v>25</v>
      </c>
      <c r="F209" s="53" t="s">
        <v>25</v>
      </c>
      <c r="G209" s="53" t="s">
        <v>25</v>
      </c>
      <c r="H209" s="53" t="s">
        <v>25</v>
      </c>
      <c r="I209" s="74">
        <v>44409</v>
      </c>
      <c r="J209" s="75">
        <f>EFEITO!$J$209*EFEITO!$Y$209</f>
        <v>0</v>
      </c>
      <c r="K209" s="75">
        <f ca="1">EFEITO!$L$209*EFEITO!$Z$209</f>
        <v>4967.597674029983</v>
      </c>
      <c r="L209" s="75">
        <f>EFEITO!$N$209*EFEITO!$AA$209</f>
        <v>1071.8478673696145</v>
      </c>
      <c r="M209" s="75">
        <f>$J$209-EFEITO!$K$209*EFEITO!$Y$209</f>
        <v>0</v>
      </c>
      <c r="N209" s="75">
        <f ca="1">$K$209-EFEITO!$M$209*EFEITO!$Z$209</f>
        <v>0</v>
      </c>
      <c r="O209" s="75">
        <f>$L$209-EFEITO!$O$209*EFEITO!$AA$209</f>
        <v>0</v>
      </c>
      <c r="P209" s="57"/>
      <c r="Q209" s="57"/>
      <c r="R209" s="57"/>
      <c r="S209" s="57"/>
      <c r="T209" s="57"/>
      <c r="U209" s="57"/>
      <c r="V209" s="57"/>
      <c r="W209" s="57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53" t="s">
        <v>21</v>
      </c>
      <c r="B210" s="53" t="s">
        <v>33</v>
      </c>
      <c r="C210" s="53" t="s">
        <v>23</v>
      </c>
      <c r="D210" s="53" t="s">
        <v>35</v>
      </c>
      <c r="E210" s="53" t="s">
        <v>25</v>
      </c>
      <c r="F210" s="53" t="s">
        <v>25</v>
      </c>
      <c r="G210" s="53" t="s">
        <v>25</v>
      </c>
      <c r="H210" s="53" t="s">
        <v>25</v>
      </c>
      <c r="I210" s="74">
        <v>44440</v>
      </c>
      <c r="J210" s="75">
        <f>EFEITO!$J$210*EFEITO!$Y$210</f>
        <v>0</v>
      </c>
      <c r="K210" s="75">
        <f ca="1">EFEITO!$L$210*EFEITO!$Z$210</f>
        <v>521570.54752804083</v>
      </c>
      <c r="L210" s="75">
        <f>EFEITO!$N$210*EFEITO!$AA$210</f>
        <v>112538.15540927369</v>
      </c>
      <c r="M210" s="75">
        <f>$J$210-EFEITO!$K$210*EFEITO!$Y$210</f>
        <v>0</v>
      </c>
      <c r="N210" s="75">
        <f ca="1">$K$210-EFEITO!$M$210*EFEITO!$Z$210</f>
        <v>0</v>
      </c>
      <c r="O210" s="75">
        <f>$L$210-EFEITO!$O$210*EFEITO!$AA$210</f>
        <v>0</v>
      </c>
      <c r="P210" s="57"/>
      <c r="Q210" s="57"/>
      <c r="R210" s="57"/>
      <c r="S210" s="57"/>
      <c r="T210" s="57"/>
      <c r="U210" s="57"/>
      <c r="V210" s="57"/>
      <c r="W210" s="57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53" t="s">
        <v>28</v>
      </c>
      <c r="B211" s="53" t="s">
        <v>33</v>
      </c>
      <c r="C211" s="53" t="s">
        <v>23</v>
      </c>
      <c r="D211" s="53" t="s">
        <v>35</v>
      </c>
      <c r="E211" s="53" t="s">
        <v>25</v>
      </c>
      <c r="F211" s="53" t="s">
        <v>25</v>
      </c>
      <c r="G211" s="53" t="s">
        <v>25</v>
      </c>
      <c r="H211" s="53" t="s">
        <v>25</v>
      </c>
      <c r="I211" s="74">
        <v>44440</v>
      </c>
      <c r="J211" s="75">
        <f>EFEITO!$J$211*EFEITO!$Y$211</f>
        <v>0</v>
      </c>
      <c r="K211" s="75">
        <f ca="1">EFEITO!$L$211*EFEITO!$Z$211</f>
        <v>6131.2733878537329</v>
      </c>
      <c r="L211" s="75">
        <f>EFEITO!$N$211*EFEITO!$AA$211</f>
        <v>1322.9316736714918</v>
      </c>
      <c r="M211" s="75">
        <f>$J$211-EFEITO!$K$211*EFEITO!$Y$211</f>
        <v>0</v>
      </c>
      <c r="N211" s="75">
        <f ca="1">$K$211-EFEITO!$M$211*EFEITO!$Z$211</f>
        <v>0</v>
      </c>
      <c r="O211" s="75">
        <f>$L$211-EFEITO!$O$211*EFEITO!$AA$211</f>
        <v>0</v>
      </c>
      <c r="P211" s="57"/>
      <c r="Q211" s="57"/>
      <c r="R211" s="57"/>
      <c r="S211" s="57"/>
      <c r="T211" s="57"/>
      <c r="U211" s="57"/>
      <c r="V211" s="57"/>
      <c r="W211" s="57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53" t="s">
        <v>21</v>
      </c>
      <c r="B212" s="53" t="s">
        <v>33</v>
      </c>
      <c r="C212" s="53" t="s">
        <v>23</v>
      </c>
      <c r="D212" s="53" t="s">
        <v>35</v>
      </c>
      <c r="E212" s="53" t="s">
        <v>25</v>
      </c>
      <c r="F212" s="53" t="s">
        <v>25</v>
      </c>
      <c r="G212" s="53" t="s">
        <v>25</v>
      </c>
      <c r="H212" s="53" t="s">
        <v>25</v>
      </c>
      <c r="I212" s="74">
        <v>44470</v>
      </c>
      <c r="J212" s="75">
        <f>EFEITO!$J$212*EFEITO!$Y$212</f>
        <v>0</v>
      </c>
      <c r="K212" s="75">
        <f ca="1">EFEITO!$L$212*EFEITO!$Z$212</f>
        <v>524474.50445777189</v>
      </c>
      <c r="L212" s="75">
        <f>EFEITO!$N$212*EFEITO!$AA$212</f>
        <v>113164.7359510792</v>
      </c>
      <c r="M212" s="75">
        <f>$J$212-EFEITO!$K$212*EFEITO!$Y$212</f>
        <v>0</v>
      </c>
      <c r="N212" s="75">
        <f ca="1">$K$212-EFEITO!$M$212*EFEITO!$Z$212</f>
        <v>0</v>
      </c>
      <c r="O212" s="75">
        <f>$L$212-EFEITO!$O$212*EFEITO!$AA$212</f>
        <v>0</v>
      </c>
      <c r="P212" s="57"/>
      <c r="Q212" s="57"/>
      <c r="R212" s="57"/>
      <c r="S212" s="57"/>
      <c r="T212" s="57"/>
      <c r="U212" s="57"/>
      <c r="V212" s="57"/>
      <c r="W212" s="57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53" t="s">
        <v>28</v>
      </c>
      <c r="B213" s="53" t="s">
        <v>33</v>
      </c>
      <c r="C213" s="53" t="s">
        <v>23</v>
      </c>
      <c r="D213" s="53" t="s">
        <v>35</v>
      </c>
      <c r="E213" s="53" t="s">
        <v>25</v>
      </c>
      <c r="F213" s="53" t="s">
        <v>25</v>
      </c>
      <c r="G213" s="53" t="s">
        <v>25</v>
      </c>
      <c r="H213" s="53" t="s">
        <v>25</v>
      </c>
      <c r="I213" s="74">
        <v>44470</v>
      </c>
      <c r="J213" s="75">
        <f>EFEITO!$J$213*EFEITO!$Y$213</f>
        <v>0</v>
      </c>
      <c r="K213" s="75">
        <f ca="1">EFEITO!$L$213*EFEITO!$Z$213</f>
        <v>8301.654170650907</v>
      </c>
      <c r="L213" s="75">
        <f>EFEITO!$N$213*EFEITO!$AA$213</f>
        <v>1791.2300677992737</v>
      </c>
      <c r="M213" s="75">
        <f>$J$213-EFEITO!$K$213*EFEITO!$Y$213</f>
        <v>0</v>
      </c>
      <c r="N213" s="75">
        <f ca="1">$K$213-EFEITO!$M$213*EFEITO!$Z$213</f>
        <v>0</v>
      </c>
      <c r="O213" s="75">
        <f>$L$213-EFEITO!$O$213*EFEITO!$AA$213</f>
        <v>0</v>
      </c>
      <c r="P213" s="57"/>
      <c r="Q213" s="57"/>
      <c r="R213" s="57"/>
      <c r="S213" s="57"/>
      <c r="T213" s="57"/>
      <c r="U213" s="57"/>
      <c r="V213" s="57"/>
      <c r="W213" s="57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53" t="s">
        <v>21</v>
      </c>
      <c r="B214" s="53" t="s">
        <v>33</v>
      </c>
      <c r="C214" s="53" t="s">
        <v>23</v>
      </c>
      <c r="D214" s="53" t="s">
        <v>35</v>
      </c>
      <c r="E214" s="53" t="s">
        <v>25</v>
      </c>
      <c r="F214" s="53" t="s">
        <v>25</v>
      </c>
      <c r="G214" s="53" t="s">
        <v>25</v>
      </c>
      <c r="H214" s="53" t="s">
        <v>25</v>
      </c>
      <c r="I214" s="74">
        <v>44501</v>
      </c>
      <c r="J214" s="75">
        <f>EFEITO!$J$214*EFEITO!$Y$214</f>
        <v>0</v>
      </c>
      <c r="K214" s="75">
        <f ca="1">EFEITO!$L$214*EFEITO!$Z$214</f>
        <v>573129.12553557893</v>
      </c>
      <c r="L214" s="75">
        <f>EFEITO!$N$214*EFEITO!$AA$214</f>
        <v>123662.83890989168</v>
      </c>
      <c r="M214" s="75">
        <f>$J$214-EFEITO!$K$214*EFEITO!$Y$214</f>
        <v>0</v>
      </c>
      <c r="N214" s="75">
        <f ca="1">$K$214-EFEITO!$M$214*EFEITO!$Z$214</f>
        <v>0</v>
      </c>
      <c r="O214" s="75">
        <f>$L$214-EFEITO!$O$214*EFEITO!$AA$214</f>
        <v>0</v>
      </c>
      <c r="P214" s="57"/>
      <c r="Q214" s="57"/>
      <c r="R214" s="57"/>
      <c r="S214" s="57"/>
      <c r="T214" s="57"/>
      <c r="U214" s="57"/>
      <c r="V214" s="57"/>
      <c r="W214" s="57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53" t="s">
        <v>27</v>
      </c>
      <c r="B215" s="53" t="s">
        <v>33</v>
      </c>
      <c r="C215" s="53" t="s">
        <v>23</v>
      </c>
      <c r="D215" s="53" t="s">
        <v>35</v>
      </c>
      <c r="E215" s="53" t="s">
        <v>25</v>
      </c>
      <c r="F215" s="53" t="s">
        <v>25</v>
      </c>
      <c r="G215" s="53" t="s">
        <v>25</v>
      </c>
      <c r="H215" s="53" t="s">
        <v>25</v>
      </c>
      <c r="I215" s="74">
        <v>44501</v>
      </c>
      <c r="J215" s="75">
        <f>EFEITO!$J$215*EFEITO!$Y$215</f>
        <v>0</v>
      </c>
      <c r="K215" s="75">
        <f ca="1">EFEITO!$L$215*EFEITO!$Z$215</f>
        <v>-1115.5380494029835</v>
      </c>
      <c r="L215" s="75">
        <f>EFEITO!$N$215*EFEITO!$AA$215</f>
        <v>-240.69724596924567</v>
      </c>
      <c r="M215" s="75">
        <f>$J$215-EFEITO!$K$215*EFEITO!$Y$215</f>
        <v>0</v>
      </c>
      <c r="N215" s="75">
        <f ca="1">$K$215-EFEITO!$M$215*EFEITO!$Z$215</f>
        <v>0</v>
      </c>
      <c r="O215" s="75">
        <f>$L$215-EFEITO!$O$215*EFEITO!$AA$215</f>
        <v>0</v>
      </c>
      <c r="P215" s="57"/>
      <c r="Q215" s="57"/>
      <c r="R215" s="57"/>
      <c r="S215" s="57"/>
      <c r="T215" s="57"/>
      <c r="U215" s="57"/>
      <c r="V215" s="57"/>
      <c r="W215" s="5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53" t="s">
        <v>28</v>
      </c>
      <c r="B216" s="53" t="s">
        <v>33</v>
      </c>
      <c r="C216" s="53" t="s">
        <v>23</v>
      </c>
      <c r="D216" s="53" t="s">
        <v>35</v>
      </c>
      <c r="E216" s="53" t="s">
        <v>25</v>
      </c>
      <c r="F216" s="53" t="s">
        <v>25</v>
      </c>
      <c r="G216" s="53" t="s">
        <v>25</v>
      </c>
      <c r="H216" s="53" t="s">
        <v>25</v>
      </c>
      <c r="I216" s="74">
        <v>44501</v>
      </c>
      <c r="J216" s="75">
        <f>EFEITO!$J$216*EFEITO!$Y$216</f>
        <v>0</v>
      </c>
      <c r="K216" s="75">
        <f ca="1">EFEITO!$L$216*EFEITO!$Z$216</f>
        <v>6161.621045858129</v>
      </c>
      <c r="L216" s="75">
        <f>EFEITO!$N$216*EFEITO!$AA$216</f>
        <v>1329.4797225768466</v>
      </c>
      <c r="M216" s="75">
        <f>$J$216-EFEITO!$K$216*EFEITO!$Y$216</f>
        <v>0</v>
      </c>
      <c r="N216" s="75">
        <f ca="1">$K$216-EFEITO!$M$216*EFEITO!$Z$216</f>
        <v>0</v>
      </c>
      <c r="O216" s="75">
        <f>$L$216-EFEITO!$O$216*EFEITO!$AA$216</f>
        <v>0</v>
      </c>
      <c r="P216" s="57"/>
      <c r="Q216" s="57"/>
      <c r="R216" s="57"/>
      <c r="S216" s="57"/>
      <c r="T216" s="57"/>
      <c r="U216" s="57"/>
      <c r="V216" s="57"/>
      <c r="W216" s="57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53" t="s">
        <v>21</v>
      </c>
      <c r="B217" s="53" t="s">
        <v>33</v>
      </c>
      <c r="C217" s="53" t="s">
        <v>23</v>
      </c>
      <c r="D217" s="53" t="s">
        <v>35</v>
      </c>
      <c r="E217" s="53" t="s">
        <v>25</v>
      </c>
      <c r="F217" s="53" t="s">
        <v>25</v>
      </c>
      <c r="G217" s="53" t="s">
        <v>25</v>
      </c>
      <c r="H217" s="53" t="s">
        <v>25</v>
      </c>
      <c r="I217" s="74">
        <v>44531</v>
      </c>
      <c r="J217" s="75">
        <f>EFEITO!$J$217*EFEITO!$Y$217</f>
        <v>0</v>
      </c>
      <c r="K217" s="75">
        <f ca="1">EFEITO!$L$217*EFEITO!$Z$217</f>
        <v>617401.12620916485</v>
      </c>
      <c r="L217" s="75">
        <f>EFEITO!$N$217*EFEITO!$AA$217</f>
        <v>133215.31328885502</v>
      </c>
      <c r="M217" s="75">
        <f>$J$217-EFEITO!$K$217*EFEITO!$Y$217</f>
        <v>0</v>
      </c>
      <c r="N217" s="75">
        <f ca="1">$K$217-EFEITO!$M$217*EFEITO!$Z$217</f>
        <v>0</v>
      </c>
      <c r="O217" s="75">
        <f>$L$217-EFEITO!$O$217*EFEITO!$AA$217</f>
        <v>0</v>
      </c>
      <c r="P217" s="57"/>
      <c r="Q217" s="57"/>
      <c r="R217" s="57"/>
      <c r="S217" s="57"/>
      <c r="T217" s="57"/>
      <c r="U217" s="57"/>
      <c r="V217" s="57"/>
      <c r="W217" s="57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53" t="s">
        <v>27</v>
      </c>
      <c r="B218" s="53" t="s">
        <v>33</v>
      </c>
      <c r="C218" s="53" t="s">
        <v>23</v>
      </c>
      <c r="D218" s="53" t="s">
        <v>35</v>
      </c>
      <c r="E218" s="53" t="s">
        <v>25</v>
      </c>
      <c r="F218" s="53" t="s">
        <v>25</v>
      </c>
      <c r="G218" s="53" t="s">
        <v>25</v>
      </c>
      <c r="H218" s="53" t="s">
        <v>25</v>
      </c>
      <c r="I218" s="74">
        <v>44531</v>
      </c>
      <c r="J218" s="75">
        <f>EFEITO!$J$218*EFEITO!$Y$218</f>
        <v>0</v>
      </c>
      <c r="K218" s="75">
        <f ca="1">EFEITO!$L$218*EFEITO!$Z$218</f>
        <v>-5.2323548283441994</v>
      </c>
      <c r="L218" s="75">
        <f>EFEITO!$N$218*EFEITO!$AA$218</f>
        <v>-1.1289739491990884</v>
      </c>
      <c r="M218" s="75">
        <f>$J$218-EFEITO!$K$218*EFEITO!$Y$218</f>
        <v>0</v>
      </c>
      <c r="N218" s="75">
        <f ca="1">$K$218-EFEITO!$M$218*EFEITO!$Z$218</f>
        <v>0</v>
      </c>
      <c r="O218" s="75">
        <f>$L$218-EFEITO!$O$218*EFEITO!$AA$218</f>
        <v>0</v>
      </c>
      <c r="P218" s="57"/>
      <c r="Q218" s="57"/>
      <c r="R218" s="57"/>
      <c r="S218" s="57"/>
      <c r="T218" s="57"/>
      <c r="U218" s="57"/>
      <c r="V218" s="57"/>
      <c r="W218" s="57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53" t="s">
        <v>28</v>
      </c>
      <c r="B219" s="53" t="s">
        <v>33</v>
      </c>
      <c r="C219" s="53" t="s">
        <v>23</v>
      </c>
      <c r="D219" s="53" t="s">
        <v>35</v>
      </c>
      <c r="E219" s="53" t="s">
        <v>25</v>
      </c>
      <c r="F219" s="53" t="s">
        <v>25</v>
      </c>
      <c r="G219" s="53" t="s">
        <v>25</v>
      </c>
      <c r="H219" s="53" t="s">
        <v>25</v>
      </c>
      <c r="I219" s="74">
        <v>44531</v>
      </c>
      <c r="J219" s="75">
        <f>EFEITO!$J$219*EFEITO!$Y$219</f>
        <v>0</v>
      </c>
      <c r="K219" s="75">
        <f ca="1">EFEITO!$L$219*EFEITO!$Z$219</f>
        <v>10510.754379177828</v>
      </c>
      <c r="L219" s="75">
        <f>EFEITO!$N$219*EFEITO!$AA$219</f>
        <v>2267.8828691511289</v>
      </c>
      <c r="M219" s="75">
        <f>$J$219-EFEITO!$K$219*EFEITO!$Y$219</f>
        <v>0</v>
      </c>
      <c r="N219" s="75">
        <f ca="1">$K$219-EFEITO!$M$219*EFEITO!$Z$219</f>
        <v>0</v>
      </c>
      <c r="O219" s="75">
        <f>$L$219-EFEITO!$O$219*EFEITO!$AA$219</f>
        <v>0</v>
      </c>
      <c r="P219" s="57"/>
      <c r="Q219" s="57"/>
      <c r="R219" s="57"/>
      <c r="S219" s="57"/>
      <c r="T219" s="57"/>
      <c r="U219" s="57"/>
      <c r="V219" s="57"/>
      <c r="W219" s="57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53" t="s">
        <v>21</v>
      </c>
      <c r="B220" s="53" t="s">
        <v>33</v>
      </c>
      <c r="C220" s="53" t="s">
        <v>23</v>
      </c>
      <c r="D220" s="53" t="s">
        <v>35</v>
      </c>
      <c r="E220" s="53" t="s">
        <v>25</v>
      </c>
      <c r="F220" s="53" t="s">
        <v>25</v>
      </c>
      <c r="G220" s="53" t="s">
        <v>25</v>
      </c>
      <c r="H220" s="53" t="s">
        <v>25</v>
      </c>
      <c r="I220" s="74">
        <v>44562</v>
      </c>
      <c r="J220" s="75">
        <f>EFEITO!$J$220*EFEITO!$Y$220</f>
        <v>0</v>
      </c>
      <c r="K220" s="75">
        <f ca="1">EFEITO!$L$220*EFEITO!$Z$220</f>
        <v>625696.50155402161</v>
      </c>
      <c r="L220" s="75">
        <f>EFEITO!$N$220*EFEITO!$AA$220</f>
        <v>135005.18858791524</v>
      </c>
      <c r="M220" s="75">
        <f>$J$220-EFEITO!$K$220*EFEITO!$Y$220</f>
        <v>0</v>
      </c>
      <c r="N220" s="75">
        <f ca="1">$K$220-EFEITO!$M$220*EFEITO!$Z$220</f>
        <v>0</v>
      </c>
      <c r="O220" s="75">
        <f>$L$220-EFEITO!$O$220*EFEITO!$AA$220</f>
        <v>0</v>
      </c>
      <c r="P220" s="57"/>
      <c r="Q220" s="57"/>
      <c r="R220" s="57"/>
      <c r="S220" s="57"/>
      <c r="T220" s="57"/>
      <c r="U220" s="57"/>
      <c r="V220" s="57"/>
      <c r="W220" s="57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53" t="s">
        <v>27</v>
      </c>
      <c r="B221" s="53" t="s">
        <v>33</v>
      </c>
      <c r="C221" s="53" t="s">
        <v>23</v>
      </c>
      <c r="D221" s="53" t="s">
        <v>35</v>
      </c>
      <c r="E221" s="53" t="s">
        <v>25</v>
      </c>
      <c r="F221" s="53" t="s">
        <v>25</v>
      </c>
      <c r="G221" s="53" t="s">
        <v>25</v>
      </c>
      <c r="H221" s="53" t="s">
        <v>25</v>
      </c>
      <c r="I221" s="74">
        <v>44562</v>
      </c>
      <c r="J221" s="75">
        <f>EFEITO!$J$221*EFEITO!$Y$221</f>
        <v>0</v>
      </c>
      <c r="K221" s="75">
        <f ca="1">EFEITO!$L$221*EFEITO!$Z$221</f>
        <v>-6253.7104908369874</v>
      </c>
      <c r="L221" s="75">
        <f>EFEITO!$N$221*EFEITO!$AA$221</f>
        <v>-1349.3496640827505</v>
      </c>
      <c r="M221" s="75">
        <f>$J$221-EFEITO!$K$221*EFEITO!$Y$221</f>
        <v>0</v>
      </c>
      <c r="N221" s="75">
        <f ca="1">$K$221-EFEITO!$M$221*EFEITO!$Z$221</f>
        <v>0</v>
      </c>
      <c r="O221" s="75">
        <f>$L$221-EFEITO!$O$221*EFEITO!$AA$221</f>
        <v>0</v>
      </c>
      <c r="P221" s="57"/>
      <c r="Q221" s="57"/>
      <c r="R221" s="57"/>
      <c r="S221" s="57"/>
      <c r="T221" s="57"/>
      <c r="U221" s="57"/>
      <c r="V221" s="57"/>
      <c r="W221" s="57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53" t="s">
        <v>28</v>
      </c>
      <c r="B222" s="53" t="s">
        <v>33</v>
      </c>
      <c r="C222" s="53" t="s">
        <v>23</v>
      </c>
      <c r="D222" s="53" t="s">
        <v>35</v>
      </c>
      <c r="E222" s="53" t="s">
        <v>25</v>
      </c>
      <c r="F222" s="53" t="s">
        <v>25</v>
      </c>
      <c r="G222" s="53" t="s">
        <v>25</v>
      </c>
      <c r="H222" s="53" t="s">
        <v>25</v>
      </c>
      <c r="I222" s="74">
        <v>44562</v>
      </c>
      <c r="J222" s="75">
        <f>EFEITO!$J$222*EFEITO!$Y$222</f>
        <v>0</v>
      </c>
      <c r="K222" s="75">
        <f ca="1">EFEITO!$L$222*EFEITO!$Z$222</f>
        <v>16786.440760293863</v>
      </c>
      <c r="L222" s="75">
        <f>EFEITO!$N$222*EFEITO!$AA$222</f>
        <v>3621.9742238205158</v>
      </c>
      <c r="M222" s="75">
        <f>$J$222-EFEITO!$K$222*EFEITO!$Y$222</f>
        <v>0</v>
      </c>
      <c r="N222" s="75">
        <f ca="1">$K$222-EFEITO!$M$222*EFEITO!$Z$222</f>
        <v>0</v>
      </c>
      <c r="O222" s="75">
        <f>$L$222-EFEITO!$O$222*EFEITO!$AA$222</f>
        <v>0</v>
      </c>
      <c r="P222" s="57"/>
      <c r="Q222" s="57"/>
      <c r="R222" s="57"/>
      <c r="S222" s="57"/>
      <c r="T222" s="57"/>
      <c r="U222" s="57"/>
      <c r="V222" s="57"/>
      <c r="W222" s="57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53" t="s">
        <v>21</v>
      </c>
      <c r="B223" s="53" t="s">
        <v>33</v>
      </c>
      <c r="C223" s="53" t="s">
        <v>23</v>
      </c>
      <c r="D223" s="53" t="s">
        <v>35</v>
      </c>
      <c r="E223" s="53" t="s">
        <v>25</v>
      </c>
      <c r="F223" s="53" t="s">
        <v>25</v>
      </c>
      <c r="G223" s="53" t="s">
        <v>25</v>
      </c>
      <c r="H223" s="53" t="s">
        <v>25</v>
      </c>
      <c r="I223" s="74">
        <v>44593</v>
      </c>
      <c r="J223" s="75">
        <f>EFEITO!$J$223*EFEITO!$Y$223</f>
        <v>0</v>
      </c>
      <c r="K223" s="75">
        <f ca="1">EFEITO!$L$223*EFEITO!$Z$223</f>
        <v>568031.76546180598</v>
      </c>
      <c r="L223" s="75">
        <f>EFEITO!$N$223*EFEITO!$AA$223</f>
        <v>122562.99248858193</v>
      </c>
      <c r="M223" s="75">
        <f>$J$223-EFEITO!$K$223*EFEITO!$Y$223</f>
        <v>0</v>
      </c>
      <c r="N223" s="75">
        <f ca="1">$K$223-EFEITO!$M$223*EFEITO!$Z$223</f>
        <v>0</v>
      </c>
      <c r="O223" s="75">
        <f>$L$223-EFEITO!$O$223*EFEITO!$AA$223</f>
        <v>0</v>
      </c>
      <c r="P223" s="57"/>
      <c r="Q223" s="57"/>
      <c r="R223" s="57"/>
      <c r="S223" s="57"/>
      <c r="T223" s="57"/>
      <c r="U223" s="57"/>
      <c r="V223" s="57"/>
      <c r="W223" s="57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53" t="s">
        <v>28</v>
      </c>
      <c r="B224" s="53" t="s">
        <v>33</v>
      </c>
      <c r="C224" s="53" t="s">
        <v>23</v>
      </c>
      <c r="D224" s="53" t="s">
        <v>35</v>
      </c>
      <c r="E224" s="53" t="s">
        <v>25</v>
      </c>
      <c r="F224" s="53" t="s">
        <v>25</v>
      </c>
      <c r="G224" s="53" t="s">
        <v>25</v>
      </c>
      <c r="H224" s="53" t="s">
        <v>25</v>
      </c>
      <c r="I224" s="74">
        <v>44593</v>
      </c>
      <c r="J224" s="75">
        <f>EFEITO!$J$224*EFEITO!$Y$224</f>
        <v>0</v>
      </c>
      <c r="K224" s="75">
        <f ca="1">EFEITO!$L$224*EFEITO!$Z$224</f>
        <v>15343.357298636531</v>
      </c>
      <c r="L224" s="75">
        <f>EFEITO!$N$224*EFEITO!$AA$224</f>
        <v>3310.6032086314071</v>
      </c>
      <c r="M224" s="75">
        <f>$J$224-EFEITO!$K$224*EFEITO!$Y$224</f>
        <v>0</v>
      </c>
      <c r="N224" s="75">
        <f ca="1">$K$224-EFEITO!$M$224*EFEITO!$Z$224</f>
        <v>0</v>
      </c>
      <c r="O224" s="75">
        <f>$L$224-EFEITO!$O$224*EFEITO!$AA$224</f>
        <v>0</v>
      </c>
      <c r="P224" s="57"/>
      <c r="Q224" s="57"/>
      <c r="R224" s="57"/>
      <c r="S224" s="57"/>
      <c r="T224" s="57"/>
      <c r="U224" s="57"/>
      <c r="V224" s="57"/>
      <c r="W224" s="57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53" t="s">
        <v>21</v>
      </c>
      <c r="B225" s="53" t="s">
        <v>33</v>
      </c>
      <c r="C225" s="53" t="s">
        <v>23</v>
      </c>
      <c r="D225" s="53" t="s">
        <v>35</v>
      </c>
      <c r="E225" s="53" t="s">
        <v>25</v>
      </c>
      <c r="F225" s="53" t="s">
        <v>25</v>
      </c>
      <c r="G225" s="53" t="s">
        <v>25</v>
      </c>
      <c r="H225" s="53" t="s">
        <v>25</v>
      </c>
      <c r="I225" s="74">
        <v>44621</v>
      </c>
      <c r="J225" s="75">
        <f>EFEITO!$J$225*EFEITO!$Y$225</f>
        <v>0</v>
      </c>
      <c r="K225" s="75">
        <f ca="1">EFEITO!$L$225*EFEITO!$Z$225</f>
        <v>580233.61692150461</v>
      </c>
      <c r="L225" s="75">
        <f>EFEITO!$N$225*EFEITO!$AA$225</f>
        <v>125195.7597381142</v>
      </c>
      <c r="M225" s="75">
        <f>$J$225-EFEITO!$K$225*EFEITO!$Y$225</f>
        <v>0</v>
      </c>
      <c r="N225" s="75">
        <f ca="1">$K$225-EFEITO!$M$225*EFEITO!$Z$225</f>
        <v>0</v>
      </c>
      <c r="O225" s="75">
        <f>$L$225-EFEITO!$O$225*EFEITO!$AA$225</f>
        <v>0</v>
      </c>
      <c r="P225" s="57"/>
      <c r="Q225" s="57"/>
      <c r="R225" s="57"/>
      <c r="S225" s="57"/>
      <c r="T225" s="57"/>
      <c r="U225" s="57"/>
      <c r="V225" s="57"/>
      <c r="W225" s="57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53" t="s">
        <v>28</v>
      </c>
      <c r="B226" s="53" t="s">
        <v>33</v>
      </c>
      <c r="C226" s="53" t="s">
        <v>23</v>
      </c>
      <c r="D226" s="53" t="s">
        <v>35</v>
      </c>
      <c r="E226" s="53" t="s">
        <v>25</v>
      </c>
      <c r="F226" s="53" t="s">
        <v>25</v>
      </c>
      <c r="G226" s="53" t="s">
        <v>25</v>
      </c>
      <c r="H226" s="53" t="s">
        <v>25</v>
      </c>
      <c r="I226" s="74">
        <v>44621</v>
      </c>
      <c r="J226" s="75">
        <f>EFEITO!$J$226*EFEITO!$Y$226</f>
        <v>0</v>
      </c>
      <c r="K226" s="75">
        <f ca="1">EFEITO!$L$226*EFEITO!$Z$226</f>
        <v>32054.452149402234</v>
      </c>
      <c r="L226" s="75">
        <f>EFEITO!$N$226*EFEITO!$AA$226</f>
        <v>6916.3202075834561</v>
      </c>
      <c r="M226" s="75">
        <f>$J$226-EFEITO!$K$226*EFEITO!$Y$226</f>
        <v>0</v>
      </c>
      <c r="N226" s="75">
        <f ca="1">$K$226-EFEITO!$M$226*EFEITO!$Z$226</f>
        <v>0</v>
      </c>
      <c r="O226" s="75">
        <f>$L$226-EFEITO!$O$226*EFEITO!$AA$226</f>
        <v>0</v>
      </c>
      <c r="P226" s="57"/>
      <c r="Q226" s="57"/>
      <c r="R226" s="57"/>
      <c r="S226" s="57"/>
      <c r="T226" s="57"/>
      <c r="U226" s="57"/>
      <c r="V226" s="57"/>
      <c r="W226" s="57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53" t="s">
        <v>21</v>
      </c>
      <c r="B227" s="53" t="s">
        <v>33</v>
      </c>
      <c r="C227" s="53" t="s">
        <v>23</v>
      </c>
      <c r="D227" s="53" t="s">
        <v>48</v>
      </c>
      <c r="E227" s="53" t="s">
        <v>25</v>
      </c>
      <c r="F227" s="53" t="s">
        <v>25</v>
      </c>
      <c r="G227" s="53" t="s">
        <v>25</v>
      </c>
      <c r="H227" s="53" t="s">
        <v>25</v>
      </c>
      <c r="I227" s="74">
        <v>44287</v>
      </c>
      <c r="J227" s="75">
        <f>EFEITO!$J$227*EFEITO!$Y$227</f>
        <v>0</v>
      </c>
      <c r="K227" s="75">
        <f ca="1">EFEITO!$L$227*EFEITO!$Z$227</f>
        <v>2410.022633935338</v>
      </c>
      <c r="L227" s="75">
        <f>EFEITO!$N$227*EFEITO!$AA$227</f>
        <v>520.00540100110015</v>
      </c>
      <c r="M227" s="75">
        <f>$J$227-EFEITO!$K$227*EFEITO!$Y$227</f>
        <v>0</v>
      </c>
      <c r="N227" s="75">
        <f ca="1">$K$227-EFEITO!$M$227*EFEITO!$Z$227</f>
        <v>0</v>
      </c>
      <c r="O227" s="75">
        <f>$L$227-EFEITO!$O$227*EFEITO!$AA$227</f>
        <v>0</v>
      </c>
      <c r="P227" s="57"/>
      <c r="Q227" s="57"/>
      <c r="R227" s="57"/>
      <c r="S227" s="57"/>
      <c r="T227" s="57"/>
      <c r="U227" s="57"/>
      <c r="V227" s="57"/>
      <c r="W227" s="57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53" t="s">
        <v>21</v>
      </c>
      <c r="B228" s="53" t="s">
        <v>33</v>
      </c>
      <c r="C228" s="53" t="s">
        <v>23</v>
      </c>
      <c r="D228" s="53" t="s">
        <v>48</v>
      </c>
      <c r="E228" s="53" t="s">
        <v>25</v>
      </c>
      <c r="F228" s="53" t="s">
        <v>25</v>
      </c>
      <c r="G228" s="53" t="s">
        <v>25</v>
      </c>
      <c r="H228" s="53" t="s">
        <v>25</v>
      </c>
      <c r="I228" s="74">
        <v>44317</v>
      </c>
      <c r="J228" s="75">
        <f>EFEITO!$J$228*EFEITO!$Y$228</f>
        <v>0</v>
      </c>
      <c r="K228" s="75">
        <f ca="1">EFEITO!$L$228*EFEITO!$Z$228</f>
        <v>1473.4311196617264</v>
      </c>
      <c r="L228" s="75">
        <f>EFEITO!$N$228*EFEITO!$AA$228</f>
        <v>317.91906409446329</v>
      </c>
      <c r="M228" s="75">
        <f>$J$228-EFEITO!$K$228*EFEITO!$Y$228</f>
        <v>0</v>
      </c>
      <c r="N228" s="75">
        <f ca="1">$K$228-EFEITO!$M$228*EFEITO!$Z$228</f>
        <v>0</v>
      </c>
      <c r="O228" s="75">
        <f>$L$228-EFEITO!$O$228*EFEITO!$AA$228</f>
        <v>0</v>
      </c>
      <c r="P228" s="57"/>
      <c r="Q228" s="57"/>
      <c r="R228" s="57"/>
      <c r="S228" s="57"/>
      <c r="T228" s="57"/>
      <c r="U228" s="57"/>
      <c r="V228" s="57"/>
      <c r="W228" s="57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53" t="s">
        <v>21</v>
      </c>
      <c r="B229" s="53" t="s">
        <v>33</v>
      </c>
      <c r="C229" s="53" t="s">
        <v>23</v>
      </c>
      <c r="D229" s="53" t="s">
        <v>48</v>
      </c>
      <c r="E229" s="53" t="s">
        <v>25</v>
      </c>
      <c r="F229" s="53" t="s">
        <v>25</v>
      </c>
      <c r="G229" s="53" t="s">
        <v>25</v>
      </c>
      <c r="H229" s="53" t="s">
        <v>25</v>
      </c>
      <c r="I229" s="74">
        <v>44348</v>
      </c>
      <c r="J229" s="75">
        <f>EFEITO!$J$229*EFEITO!$Y$229</f>
        <v>0</v>
      </c>
      <c r="K229" s="75">
        <f ca="1">EFEITO!$L$229*EFEITO!$Z$229</f>
        <v>1211.8133782445166</v>
      </c>
      <c r="L229" s="75">
        <f>EFEITO!$N$229*EFEITO!$AA$229</f>
        <v>261.47036663450888</v>
      </c>
      <c r="M229" s="75">
        <f>$J$229-EFEITO!$K$229*EFEITO!$Y$229</f>
        <v>0</v>
      </c>
      <c r="N229" s="75">
        <f ca="1">$K$229-EFEITO!$M$229*EFEITO!$Z$229</f>
        <v>0</v>
      </c>
      <c r="O229" s="75">
        <f>$L$229-EFEITO!$O$229*EFEITO!$AA$229</f>
        <v>0</v>
      </c>
      <c r="P229" s="57"/>
      <c r="Q229" s="57"/>
      <c r="R229" s="57"/>
      <c r="S229" s="57"/>
      <c r="T229" s="57"/>
      <c r="U229" s="57"/>
      <c r="V229" s="57"/>
      <c r="W229" s="57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53" t="s">
        <v>21</v>
      </c>
      <c r="B230" s="53" t="s">
        <v>33</v>
      </c>
      <c r="C230" s="53" t="s">
        <v>23</v>
      </c>
      <c r="D230" s="53" t="s">
        <v>48</v>
      </c>
      <c r="E230" s="53" t="s">
        <v>25</v>
      </c>
      <c r="F230" s="53" t="s">
        <v>25</v>
      </c>
      <c r="G230" s="53" t="s">
        <v>25</v>
      </c>
      <c r="H230" s="53" t="s">
        <v>25</v>
      </c>
      <c r="I230" s="74">
        <v>44378</v>
      </c>
      <c r="J230" s="75">
        <f>EFEITO!$J$230*EFEITO!$Y$230</f>
        <v>0</v>
      </c>
      <c r="K230" s="75">
        <f ca="1">EFEITO!$L$230*EFEITO!$Z$230</f>
        <v>1049.6103785658463</v>
      </c>
      <c r="L230" s="75">
        <f>EFEITO!$N$230*EFEITO!$AA$230</f>
        <v>226.47217420933711</v>
      </c>
      <c r="M230" s="75">
        <f>$J$230-EFEITO!$K$230*EFEITO!$Y$230</f>
        <v>0</v>
      </c>
      <c r="N230" s="75">
        <f ca="1">$K$230-EFEITO!$M$230*EFEITO!$Z$230</f>
        <v>0</v>
      </c>
      <c r="O230" s="75">
        <f>$L$230-EFEITO!$O$230*EFEITO!$AA$230</f>
        <v>0</v>
      </c>
      <c r="P230" s="57"/>
      <c r="Q230" s="57"/>
      <c r="R230" s="57"/>
      <c r="S230" s="57"/>
      <c r="T230" s="57"/>
      <c r="U230" s="57"/>
      <c r="V230" s="57"/>
      <c r="W230" s="57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53" t="s">
        <v>21</v>
      </c>
      <c r="B231" s="53" t="s">
        <v>33</v>
      </c>
      <c r="C231" s="53" t="s">
        <v>23</v>
      </c>
      <c r="D231" s="53" t="s">
        <v>48</v>
      </c>
      <c r="E231" s="53" t="s">
        <v>25</v>
      </c>
      <c r="F231" s="53" t="s">
        <v>25</v>
      </c>
      <c r="G231" s="53" t="s">
        <v>25</v>
      </c>
      <c r="H231" s="53" t="s">
        <v>25</v>
      </c>
      <c r="I231" s="74">
        <v>44409</v>
      </c>
      <c r="J231" s="75">
        <f>EFEITO!$J$231*EFEITO!$Y$231</f>
        <v>0</v>
      </c>
      <c r="K231" s="75">
        <f ca="1">EFEITO!$L$231*EFEITO!$Z$231</f>
        <v>1160.5363009267435</v>
      </c>
      <c r="L231" s="75">
        <f>EFEITO!$N$231*EFEITO!$AA$231</f>
        <v>250.40642193235783</v>
      </c>
      <c r="M231" s="75">
        <f>$J$231-EFEITO!$K$231*EFEITO!$Y$231</f>
        <v>0</v>
      </c>
      <c r="N231" s="75">
        <f ca="1">$K$231-EFEITO!$M$231*EFEITO!$Z$231</f>
        <v>0</v>
      </c>
      <c r="O231" s="75">
        <f>$L$231-EFEITO!$O$231*EFEITO!$AA$231</f>
        <v>0</v>
      </c>
      <c r="P231" s="57"/>
      <c r="Q231" s="57"/>
      <c r="R231" s="57"/>
      <c r="S231" s="57"/>
      <c r="T231" s="57"/>
      <c r="U231" s="57"/>
      <c r="V231" s="57"/>
      <c r="W231" s="57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53" t="s">
        <v>21</v>
      </c>
      <c r="B232" s="53" t="s">
        <v>33</v>
      </c>
      <c r="C232" s="53" t="s">
        <v>23</v>
      </c>
      <c r="D232" s="53" t="s">
        <v>48</v>
      </c>
      <c r="E232" s="53" t="s">
        <v>25</v>
      </c>
      <c r="F232" s="53" t="s">
        <v>25</v>
      </c>
      <c r="G232" s="53" t="s">
        <v>25</v>
      </c>
      <c r="H232" s="53" t="s">
        <v>25</v>
      </c>
      <c r="I232" s="74">
        <v>44440</v>
      </c>
      <c r="J232" s="75">
        <f>EFEITO!$J$232*EFEITO!$Y$232</f>
        <v>0</v>
      </c>
      <c r="K232" s="75">
        <f ca="1">EFEITO!$L$232*EFEITO!$Z$232</f>
        <v>2248.866105222337</v>
      </c>
      <c r="L232" s="75">
        <f>EFEITO!$N$232*EFEITO!$AA$232</f>
        <v>485.23300336576824</v>
      </c>
      <c r="M232" s="75">
        <f>$J$232-EFEITO!$K$232*EFEITO!$Y$232</f>
        <v>0</v>
      </c>
      <c r="N232" s="75">
        <f ca="1">$K$232-EFEITO!$M$232*EFEITO!$Z$232</f>
        <v>0</v>
      </c>
      <c r="O232" s="75">
        <f>$L$232-EFEITO!$O$232*EFEITO!$AA$232</f>
        <v>0</v>
      </c>
      <c r="P232" s="57"/>
      <c r="Q232" s="57"/>
      <c r="R232" s="57"/>
      <c r="S232" s="57"/>
      <c r="T232" s="57"/>
      <c r="U232" s="57"/>
      <c r="V232" s="57"/>
      <c r="W232" s="57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53" t="s">
        <v>21</v>
      </c>
      <c r="B233" s="53" t="s">
        <v>33</v>
      </c>
      <c r="C233" s="53" t="s">
        <v>23</v>
      </c>
      <c r="D233" s="53" t="s">
        <v>48</v>
      </c>
      <c r="E233" s="53" t="s">
        <v>25</v>
      </c>
      <c r="F233" s="53" t="s">
        <v>25</v>
      </c>
      <c r="G233" s="53" t="s">
        <v>25</v>
      </c>
      <c r="H233" s="53" t="s">
        <v>25</v>
      </c>
      <c r="I233" s="74">
        <v>44470</v>
      </c>
      <c r="J233" s="75">
        <f>EFEITO!$J$233*EFEITO!$Y$233</f>
        <v>0</v>
      </c>
      <c r="K233" s="75">
        <f ca="1">EFEITO!$L$233*EFEITO!$Z$233</f>
        <v>2320.026130887818</v>
      </c>
      <c r="L233" s="75">
        <f>EFEITO!$N$233*EFEITO!$AA$233</f>
        <v>500.58704907487584</v>
      </c>
      <c r="M233" s="75">
        <f>$J$233-EFEITO!$K$233*EFEITO!$Y$233</f>
        <v>0</v>
      </c>
      <c r="N233" s="75">
        <f ca="1">$K$233-EFEITO!$M$233*EFEITO!$Z$233</f>
        <v>0</v>
      </c>
      <c r="O233" s="75">
        <f>$L$233-EFEITO!$O$233*EFEITO!$AA$233</f>
        <v>0</v>
      </c>
      <c r="P233" s="57"/>
      <c r="Q233" s="57"/>
      <c r="R233" s="57"/>
      <c r="S233" s="57"/>
      <c r="T233" s="57"/>
      <c r="U233" s="57"/>
      <c r="V233" s="57"/>
      <c r="W233" s="57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53" t="s">
        <v>21</v>
      </c>
      <c r="B234" s="53" t="s">
        <v>33</v>
      </c>
      <c r="C234" s="53" t="s">
        <v>23</v>
      </c>
      <c r="D234" s="53" t="s">
        <v>48</v>
      </c>
      <c r="E234" s="53" t="s">
        <v>25</v>
      </c>
      <c r="F234" s="53" t="s">
        <v>25</v>
      </c>
      <c r="G234" s="53" t="s">
        <v>25</v>
      </c>
      <c r="H234" s="53" t="s">
        <v>25</v>
      </c>
      <c r="I234" s="74">
        <v>44501</v>
      </c>
      <c r="J234" s="75">
        <f>EFEITO!$J$234*EFEITO!$Y$234</f>
        <v>0</v>
      </c>
      <c r="K234" s="75">
        <f ca="1">EFEITO!$L$234*EFEITO!$Z$234</f>
        <v>2144.2190086554529</v>
      </c>
      <c r="L234" s="75">
        <f>EFEITO!$N$234*EFEITO!$AA$234</f>
        <v>462.65352438178644</v>
      </c>
      <c r="M234" s="75">
        <f>$J$234-EFEITO!$K$234*EFEITO!$Y$234</f>
        <v>0</v>
      </c>
      <c r="N234" s="75">
        <f ca="1">$K$234-EFEITO!$M$234*EFEITO!$Z$234</f>
        <v>0</v>
      </c>
      <c r="O234" s="75">
        <f>$L$234-EFEITO!$O$234*EFEITO!$AA$234</f>
        <v>0</v>
      </c>
      <c r="P234" s="57"/>
      <c r="Q234" s="57"/>
      <c r="R234" s="57"/>
      <c r="S234" s="57"/>
      <c r="T234" s="57"/>
      <c r="U234" s="57"/>
      <c r="V234" s="57"/>
      <c r="W234" s="57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53" t="s">
        <v>21</v>
      </c>
      <c r="B235" s="53" t="s">
        <v>33</v>
      </c>
      <c r="C235" s="53" t="s">
        <v>23</v>
      </c>
      <c r="D235" s="53" t="s">
        <v>48</v>
      </c>
      <c r="E235" s="53" t="s">
        <v>25</v>
      </c>
      <c r="F235" s="53" t="s">
        <v>25</v>
      </c>
      <c r="G235" s="53" t="s">
        <v>25</v>
      </c>
      <c r="H235" s="53" t="s">
        <v>25</v>
      </c>
      <c r="I235" s="74">
        <v>44531</v>
      </c>
      <c r="J235" s="75">
        <f>EFEITO!$J$235*EFEITO!$Y$235</f>
        <v>0</v>
      </c>
      <c r="K235" s="75">
        <f ca="1">EFEITO!$L$235*EFEITO!$Z$235</f>
        <v>2568.0397497513331</v>
      </c>
      <c r="L235" s="75">
        <f>EFEITO!$N$235*EFEITO!$AA$235</f>
        <v>554.10041426691271</v>
      </c>
      <c r="M235" s="75">
        <f>$J$235-EFEITO!$K$235*EFEITO!$Y$235</f>
        <v>0</v>
      </c>
      <c r="N235" s="75">
        <f ca="1">$K$235-EFEITO!$M$235*EFEITO!$Z$235</f>
        <v>0</v>
      </c>
      <c r="O235" s="75">
        <f>$L$235-EFEITO!$O$235*EFEITO!$AA$235</f>
        <v>0</v>
      </c>
      <c r="P235" s="57"/>
      <c r="Q235" s="57"/>
      <c r="R235" s="57"/>
      <c r="S235" s="57"/>
      <c r="T235" s="57"/>
      <c r="U235" s="57"/>
      <c r="V235" s="57"/>
      <c r="W235" s="57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53" t="s">
        <v>21</v>
      </c>
      <c r="B236" s="53" t="s">
        <v>33</v>
      </c>
      <c r="C236" s="53" t="s">
        <v>23</v>
      </c>
      <c r="D236" s="53" t="s">
        <v>48</v>
      </c>
      <c r="E236" s="53" t="s">
        <v>25</v>
      </c>
      <c r="F236" s="53" t="s">
        <v>25</v>
      </c>
      <c r="G236" s="53" t="s">
        <v>25</v>
      </c>
      <c r="H236" s="53" t="s">
        <v>25</v>
      </c>
      <c r="I236" s="74">
        <v>44562</v>
      </c>
      <c r="J236" s="75">
        <f>EFEITO!$J$236*EFEITO!$Y$236</f>
        <v>0</v>
      </c>
      <c r="K236" s="75">
        <f ca="1">EFEITO!$L$236*EFEITO!$Z$236</f>
        <v>2018.6424927751921</v>
      </c>
      <c r="L236" s="75">
        <f>EFEITO!$N$236*EFEITO!$AA$236</f>
        <v>435.55814960100832</v>
      </c>
      <c r="M236" s="75">
        <f>$J$236-EFEITO!$K$236*EFEITO!$Y$236</f>
        <v>0</v>
      </c>
      <c r="N236" s="75">
        <f ca="1">$K$236-EFEITO!$M$236*EFEITO!$Z$236</f>
        <v>0</v>
      </c>
      <c r="O236" s="75">
        <f>$L$236-EFEITO!$O$236*EFEITO!$AA$236</f>
        <v>0</v>
      </c>
      <c r="P236" s="57"/>
      <c r="Q236" s="57"/>
      <c r="R236" s="57"/>
      <c r="S236" s="57"/>
      <c r="T236" s="57"/>
      <c r="U236" s="57"/>
      <c r="V236" s="57"/>
      <c r="W236" s="57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53" t="s">
        <v>21</v>
      </c>
      <c r="B237" s="53" t="s">
        <v>33</v>
      </c>
      <c r="C237" s="53" t="s">
        <v>23</v>
      </c>
      <c r="D237" s="53" t="s">
        <v>48</v>
      </c>
      <c r="E237" s="53" t="s">
        <v>25</v>
      </c>
      <c r="F237" s="53" t="s">
        <v>25</v>
      </c>
      <c r="G237" s="53" t="s">
        <v>25</v>
      </c>
      <c r="H237" s="53" t="s">
        <v>25</v>
      </c>
      <c r="I237" s="74">
        <v>44593</v>
      </c>
      <c r="J237" s="75">
        <f>EFEITO!$J$237*EFEITO!$Y$237</f>
        <v>0</v>
      </c>
      <c r="K237" s="75">
        <f ca="1">EFEITO!$L$237*EFEITO!$Z$237</f>
        <v>2866.2839749669524</v>
      </c>
      <c r="L237" s="75">
        <f>EFEITO!$N$237*EFEITO!$AA$237</f>
        <v>618.45192937126069</v>
      </c>
      <c r="M237" s="75">
        <f>$J$237-EFEITO!$K$237*EFEITO!$Y$237</f>
        <v>0</v>
      </c>
      <c r="N237" s="75">
        <f ca="1">$K$237-EFEITO!$M$237*EFEITO!$Z$237</f>
        <v>0</v>
      </c>
      <c r="O237" s="75">
        <f>$L$237-EFEITO!$O$237*EFEITO!$AA$237</f>
        <v>0</v>
      </c>
      <c r="P237" s="57"/>
      <c r="Q237" s="57"/>
      <c r="R237" s="57"/>
      <c r="S237" s="57"/>
      <c r="T237" s="57"/>
      <c r="U237" s="57"/>
      <c r="V237" s="57"/>
      <c r="W237" s="57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53" t="s">
        <v>21</v>
      </c>
      <c r="B238" s="53" t="s">
        <v>33</v>
      </c>
      <c r="C238" s="53" t="s">
        <v>23</v>
      </c>
      <c r="D238" s="53" t="s">
        <v>48</v>
      </c>
      <c r="E238" s="53" t="s">
        <v>25</v>
      </c>
      <c r="F238" s="53" t="s">
        <v>25</v>
      </c>
      <c r="G238" s="53" t="s">
        <v>25</v>
      </c>
      <c r="H238" s="53" t="s">
        <v>25</v>
      </c>
      <c r="I238" s="74">
        <v>44621</v>
      </c>
      <c r="J238" s="75">
        <f>EFEITO!$J$238*EFEITO!$Y$238</f>
        <v>0</v>
      </c>
      <c r="K238" s="75">
        <f ca="1">EFEITO!$L$238*EFEITO!$Z$238</f>
        <v>4012.1696823743323</v>
      </c>
      <c r="L238" s="75">
        <f>EFEITO!$N$238*EFEITO!$AA$238</f>
        <v>865.69722424586109</v>
      </c>
      <c r="M238" s="75">
        <f>$J$238-EFEITO!$K$238*EFEITO!$Y$238</f>
        <v>0</v>
      </c>
      <c r="N238" s="75">
        <f ca="1">$K$238-EFEITO!$M$238*EFEITO!$Z$238</f>
        <v>0</v>
      </c>
      <c r="O238" s="75">
        <f>$L$238-EFEITO!$O$238*EFEITO!$AA$238</f>
        <v>0</v>
      </c>
      <c r="P238" s="57"/>
      <c r="Q238" s="57"/>
      <c r="R238" s="57"/>
      <c r="S238" s="57"/>
      <c r="T238" s="57"/>
      <c r="U238" s="57"/>
      <c r="V238" s="57"/>
      <c r="W238" s="57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53" t="s">
        <v>21</v>
      </c>
      <c r="B239" s="53" t="s">
        <v>33</v>
      </c>
      <c r="C239" s="53" t="s">
        <v>23</v>
      </c>
      <c r="D239" s="53" t="s">
        <v>34</v>
      </c>
      <c r="E239" s="53" t="s">
        <v>25</v>
      </c>
      <c r="F239" s="53" t="s">
        <v>25</v>
      </c>
      <c r="G239" s="53" t="s">
        <v>25</v>
      </c>
      <c r="H239" s="53" t="s">
        <v>25</v>
      </c>
      <c r="I239" s="74">
        <v>44287</v>
      </c>
      <c r="J239" s="75">
        <f>EFEITO!$J$239*EFEITO!$Y$239</f>
        <v>0</v>
      </c>
      <c r="K239" s="75">
        <f ca="1">EFEITO!$L$239*EFEITO!$Z$239</f>
        <v>15047.206015352249</v>
      </c>
      <c r="L239" s="75">
        <f>EFEITO!$N$239*EFEITO!$AA$239</f>
        <v>3246.7032831067386</v>
      </c>
      <c r="M239" s="75">
        <f>$J$239-EFEITO!$K$239*EFEITO!$Y$239</f>
        <v>0</v>
      </c>
      <c r="N239" s="75">
        <f ca="1">$K$239-EFEITO!$M$239*EFEITO!$Z$239</f>
        <v>0</v>
      </c>
      <c r="O239" s="75">
        <f>$L$239-EFEITO!$O$239*EFEITO!$AA$239</f>
        <v>0</v>
      </c>
      <c r="P239" s="57"/>
      <c r="Q239" s="57"/>
      <c r="R239" s="57"/>
      <c r="S239" s="57"/>
      <c r="T239" s="57"/>
      <c r="U239" s="57"/>
      <c r="V239" s="57"/>
      <c r="W239" s="57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53" t="s">
        <v>28</v>
      </c>
      <c r="B240" s="53" t="s">
        <v>33</v>
      </c>
      <c r="C240" s="53" t="s">
        <v>23</v>
      </c>
      <c r="D240" s="53" t="s">
        <v>34</v>
      </c>
      <c r="E240" s="53" t="s">
        <v>25</v>
      </c>
      <c r="F240" s="53" t="s">
        <v>25</v>
      </c>
      <c r="G240" s="53" t="s">
        <v>25</v>
      </c>
      <c r="H240" s="53" t="s">
        <v>25</v>
      </c>
      <c r="I240" s="74">
        <v>44287</v>
      </c>
      <c r="J240" s="75">
        <f>EFEITO!$J$240*EFEITO!$Y$240</f>
        <v>0</v>
      </c>
      <c r="K240" s="75">
        <f ca="1">EFEITO!$L$240*EFEITO!$Z$240</f>
        <v>518.00312800607571</v>
      </c>
      <c r="L240" s="75">
        <f>EFEITO!$N$240*EFEITO!$AA$240</f>
        <v>111.76842097070976</v>
      </c>
      <c r="M240" s="75">
        <f>$J$240-EFEITO!$K$240*EFEITO!$Y$240</f>
        <v>0</v>
      </c>
      <c r="N240" s="75">
        <f ca="1">$K$240-EFEITO!$M$240*EFEITO!$Z$240</f>
        <v>0</v>
      </c>
      <c r="O240" s="75">
        <f>$L$240-EFEITO!$O$240*EFEITO!$AA$240</f>
        <v>0</v>
      </c>
      <c r="P240" s="57"/>
      <c r="Q240" s="57"/>
      <c r="R240" s="57"/>
      <c r="S240" s="57"/>
      <c r="T240" s="57"/>
      <c r="U240" s="57"/>
      <c r="V240" s="57"/>
      <c r="W240" s="57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53" t="s">
        <v>21</v>
      </c>
      <c r="B241" s="53" t="s">
        <v>33</v>
      </c>
      <c r="C241" s="53" t="s">
        <v>23</v>
      </c>
      <c r="D241" s="53" t="s">
        <v>34</v>
      </c>
      <c r="E241" s="53" t="s">
        <v>25</v>
      </c>
      <c r="F241" s="53" t="s">
        <v>25</v>
      </c>
      <c r="G241" s="53" t="s">
        <v>25</v>
      </c>
      <c r="H241" s="53" t="s">
        <v>25</v>
      </c>
      <c r="I241" s="74">
        <v>44317</v>
      </c>
      <c r="J241" s="75">
        <f>EFEITO!$J$241*EFEITO!$Y$241</f>
        <v>0</v>
      </c>
      <c r="K241" s="75">
        <f ca="1">EFEITO!$L$241*EFEITO!$Z$241</f>
        <v>14187.006881572463</v>
      </c>
      <c r="L241" s="75">
        <f>EFEITO!$N$241*EFEITO!$AA$241</f>
        <v>3061.0999658584087</v>
      </c>
      <c r="M241" s="75">
        <f>$J$241-EFEITO!$K$241*EFEITO!$Y$241</f>
        <v>0</v>
      </c>
      <c r="N241" s="75">
        <f ca="1">$K$241-EFEITO!$M$241*EFEITO!$Z$241</f>
        <v>0</v>
      </c>
      <c r="O241" s="75">
        <f>$L$241-EFEITO!$O$241*EFEITO!$AA$241</f>
        <v>0</v>
      </c>
      <c r="P241" s="57"/>
      <c r="Q241" s="57"/>
      <c r="R241" s="57"/>
      <c r="S241" s="57"/>
      <c r="T241" s="57"/>
      <c r="U241" s="57"/>
      <c r="V241" s="57"/>
      <c r="W241" s="57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53" t="s">
        <v>28</v>
      </c>
      <c r="B242" s="53" t="s">
        <v>33</v>
      </c>
      <c r="C242" s="53" t="s">
        <v>23</v>
      </c>
      <c r="D242" s="53" t="s">
        <v>34</v>
      </c>
      <c r="E242" s="53" t="s">
        <v>25</v>
      </c>
      <c r="F242" s="53" t="s">
        <v>25</v>
      </c>
      <c r="G242" s="53" t="s">
        <v>25</v>
      </c>
      <c r="H242" s="53" t="s">
        <v>25</v>
      </c>
      <c r="I242" s="74">
        <v>44317</v>
      </c>
      <c r="J242" s="75">
        <f>EFEITO!$J$242*EFEITO!$Y$242</f>
        <v>0</v>
      </c>
      <c r="K242" s="75">
        <f ca="1">EFEITO!$L$242*EFEITO!$Z$242</f>
        <v>1501.6858357347853</v>
      </c>
      <c r="L242" s="75">
        <f>EFEITO!$N$242*EFEITO!$AA$242</f>
        <v>324.01552342013838</v>
      </c>
      <c r="M242" s="75">
        <f>$J$242-EFEITO!$K$242*EFEITO!$Y$242</f>
        <v>0</v>
      </c>
      <c r="N242" s="75">
        <f ca="1">$K$242-EFEITO!$M$242*EFEITO!$Z$242</f>
        <v>0</v>
      </c>
      <c r="O242" s="75">
        <f>$L$242-EFEITO!$O$242*EFEITO!$AA$242</f>
        <v>0</v>
      </c>
      <c r="P242" s="57"/>
      <c r="Q242" s="57"/>
      <c r="R242" s="57"/>
      <c r="S242" s="57"/>
      <c r="T242" s="57"/>
      <c r="U242" s="57"/>
      <c r="V242" s="57"/>
      <c r="W242" s="57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53" t="s">
        <v>21</v>
      </c>
      <c r="B243" s="53" t="s">
        <v>33</v>
      </c>
      <c r="C243" s="53" t="s">
        <v>23</v>
      </c>
      <c r="D243" s="53" t="s">
        <v>34</v>
      </c>
      <c r="E243" s="53" t="s">
        <v>25</v>
      </c>
      <c r="F243" s="53" t="s">
        <v>25</v>
      </c>
      <c r="G243" s="53" t="s">
        <v>25</v>
      </c>
      <c r="H243" s="53" t="s">
        <v>25</v>
      </c>
      <c r="I243" s="74">
        <v>44348</v>
      </c>
      <c r="J243" s="75">
        <f>EFEITO!$J$243*EFEITO!$Y$243</f>
        <v>0</v>
      </c>
      <c r="K243" s="75">
        <f ca="1">EFEITO!$L$243*EFEITO!$Z$243</f>
        <v>12967.868206568262</v>
      </c>
      <c r="L243" s="75">
        <f>EFEITO!$N$243*EFEITO!$AA$243</f>
        <v>2798.0490356950208</v>
      </c>
      <c r="M243" s="75">
        <f>$J$243-EFEITO!$K$243*EFEITO!$Y$243</f>
        <v>0</v>
      </c>
      <c r="N243" s="75">
        <f ca="1">$K$243-EFEITO!$M$243*EFEITO!$Z$243</f>
        <v>0</v>
      </c>
      <c r="O243" s="75">
        <f>$L$243-EFEITO!$O$243*EFEITO!$AA$243</f>
        <v>0</v>
      </c>
      <c r="P243" s="57"/>
      <c r="Q243" s="57"/>
      <c r="R243" s="57"/>
      <c r="S243" s="57"/>
      <c r="T243" s="57"/>
      <c r="U243" s="57"/>
      <c r="V243" s="57"/>
      <c r="W243" s="57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53" t="s">
        <v>28</v>
      </c>
      <c r="B244" s="53" t="s">
        <v>33</v>
      </c>
      <c r="C244" s="53" t="s">
        <v>23</v>
      </c>
      <c r="D244" s="53" t="s">
        <v>34</v>
      </c>
      <c r="E244" s="53" t="s">
        <v>25</v>
      </c>
      <c r="F244" s="53" t="s">
        <v>25</v>
      </c>
      <c r="G244" s="53" t="s">
        <v>25</v>
      </c>
      <c r="H244" s="53" t="s">
        <v>25</v>
      </c>
      <c r="I244" s="74">
        <v>44348</v>
      </c>
      <c r="J244" s="75">
        <f>EFEITO!$J$244*EFEITO!$Y$244</f>
        <v>0</v>
      </c>
      <c r="K244" s="75">
        <f ca="1">EFEITO!$L$244*EFEITO!$Z$244</f>
        <v>1102.9803978149573</v>
      </c>
      <c r="L244" s="75">
        <f>EFEITO!$N$244*EFEITO!$AA$244</f>
        <v>237.98770849116787</v>
      </c>
      <c r="M244" s="75">
        <f>$J$244-EFEITO!$K$244*EFEITO!$Y$244</f>
        <v>0</v>
      </c>
      <c r="N244" s="75">
        <f ca="1">$K$244-EFEITO!$M$244*EFEITO!$Z$244</f>
        <v>0</v>
      </c>
      <c r="O244" s="75">
        <f>$L$244-EFEITO!$O$244*EFEITO!$AA$244</f>
        <v>0</v>
      </c>
      <c r="P244" s="57"/>
      <c r="Q244" s="57"/>
      <c r="R244" s="57"/>
      <c r="S244" s="57"/>
      <c r="T244" s="57"/>
      <c r="U244" s="57"/>
      <c r="V244" s="57"/>
      <c r="W244" s="57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53" t="s">
        <v>21</v>
      </c>
      <c r="B245" s="53" t="s">
        <v>33</v>
      </c>
      <c r="C245" s="53" t="s">
        <v>23</v>
      </c>
      <c r="D245" s="53" t="s">
        <v>34</v>
      </c>
      <c r="E245" s="53" t="s">
        <v>25</v>
      </c>
      <c r="F245" s="53" t="s">
        <v>25</v>
      </c>
      <c r="G245" s="53" t="s">
        <v>25</v>
      </c>
      <c r="H245" s="53" t="s">
        <v>25</v>
      </c>
      <c r="I245" s="74">
        <v>44378</v>
      </c>
      <c r="J245" s="75">
        <f>EFEITO!$J$245*EFEITO!$Y$245</f>
        <v>0</v>
      </c>
      <c r="K245" s="75">
        <f ca="1">EFEITO!$L$245*EFEITO!$Z$245</f>
        <v>10928.296294479695</v>
      </c>
      <c r="L245" s="75">
        <f>EFEITO!$N$245*EFEITO!$AA$245</f>
        <v>2357.9749902972162</v>
      </c>
      <c r="M245" s="75">
        <f>$J$245-EFEITO!$K$245*EFEITO!$Y$245</f>
        <v>0</v>
      </c>
      <c r="N245" s="75">
        <f ca="1">$K$245-EFEITO!$M$245*EFEITO!$Z$245</f>
        <v>0</v>
      </c>
      <c r="O245" s="75">
        <f>$L$245-EFEITO!$O$245*EFEITO!$AA$245</f>
        <v>0</v>
      </c>
      <c r="P245" s="57"/>
      <c r="Q245" s="57"/>
      <c r="R245" s="57"/>
      <c r="S245" s="57"/>
      <c r="T245" s="57"/>
      <c r="U245" s="57"/>
      <c r="V245" s="57"/>
      <c r="W245" s="57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53" t="s">
        <v>28</v>
      </c>
      <c r="B246" s="53" t="s">
        <v>33</v>
      </c>
      <c r="C246" s="53" t="s">
        <v>23</v>
      </c>
      <c r="D246" s="53" t="s">
        <v>34</v>
      </c>
      <c r="E246" s="53" t="s">
        <v>25</v>
      </c>
      <c r="F246" s="53" t="s">
        <v>25</v>
      </c>
      <c r="G246" s="53" t="s">
        <v>25</v>
      </c>
      <c r="H246" s="53" t="s">
        <v>25</v>
      </c>
      <c r="I246" s="74">
        <v>44378</v>
      </c>
      <c r="J246" s="75">
        <f>EFEITO!$J$246*EFEITO!$Y$246</f>
        <v>0</v>
      </c>
      <c r="K246" s="75">
        <f ca="1">EFEITO!$L$246*EFEITO!$Z$246</f>
        <v>642.53317292066765</v>
      </c>
      <c r="L246" s="75">
        <f>EFEITO!$N$246*EFEITO!$AA$246</f>
        <v>138.63800096164806</v>
      </c>
      <c r="M246" s="75">
        <f>$J$246-EFEITO!$K$246*EFEITO!$Y$246</f>
        <v>0</v>
      </c>
      <c r="N246" s="75">
        <f ca="1">$K$246-EFEITO!$M$246*EFEITO!$Z$246</f>
        <v>0</v>
      </c>
      <c r="O246" s="75">
        <f>$L$246-EFEITO!$O$246*EFEITO!$AA$246</f>
        <v>0</v>
      </c>
      <c r="P246" s="57"/>
      <c r="Q246" s="57"/>
      <c r="R246" s="57"/>
      <c r="S246" s="57"/>
      <c r="T246" s="57"/>
      <c r="U246" s="57"/>
      <c r="V246" s="57"/>
      <c r="W246" s="57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53" t="s">
        <v>21</v>
      </c>
      <c r="B247" s="53" t="s">
        <v>33</v>
      </c>
      <c r="C247" s="53" t="s">
        <v>23</v>
      </c>
      <c r="D247" s="53" t="s">
        <v>34</v>
      </c>
      <c r="E247" s="53" t="s">
        <v>25</v>
      </c>
      <c r="F247" s="53" t="s">
        <v>25</v>
      </c>
      <c r="G247" s="53" t="s">
        <v>25</v>
      </c>
      <c r="H247" s="53" t="s">
        <v>25</v>
      </c>
      <c r="I247" s="74">
        <v>44409</v>
      </c>
      <c r="J247" s="75">
        <f>EFEITO!$J$247*EFEITO!$Y$247</f>
        <v>0</v>
      </c>
      <c r="K247" s="75">
        <f ca="1">EFEITO!$L$247*EFEITO!$Z$247</f>
        <v>11151.194610167158</v>
      </c>
      <c r="L247" s="75">
        <f>EFEITO!$N$247*EFEITO!$AA$247</f>
        <v>2406.0692805330973</v>
      </c>
      <c r="M247" s="75">
        <f>$J$247-EFEITO!$K$247*EFEITO!$Y$247</f>
        <v>0</v>
      </c>
      <c r="N247" s="75">
        <f ca="1">$K$247-EFEITO!$M$247*EFEITO!$Z$247</f>
        <v>0</v>
      </c>
      <c r="O247" s="75">
        <f>$L$247-EFEITO!$O$247*EFEITO!$AA$247</f>
        <v>0</v>
      </c>
      <c r="P247" s="57"/>
      <c r="Q247" s="57"/>
      <c r="R247" s="57"/>
      <c r="S247" s="57"/>
      <c r="T247" s="57"/>
      <c r="U247" s="57"/>
      <c r="V247" s="57"/>
      <c r="W247" s="57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53" t="s">
        <v>28</v>
      </c>
      <c r="B248" s="53" t="s">
        <v>33</v>
      </c>
      <c r="C248" s="53" t="s">
        <v>23</v>
      </c>
      <c r="D248" s="53" t="s">
        <v>34</v>
      </c>
      <c r="E248" s="53" t="s">
        <v>25</v>
      </c>
      <c r="F248" s="53" t="s">
        <v>25</v>
      </c>
      <c r="G248" s="53" t="s">
        <v>25</v>
      </c>
      <c r="H248" s="53" t="s">
        <v>25</v>
      </c>
      <c r="I248" s="74">
        <v>44409</v>
      </c>
      <c r="J248" s="75">
        <f>EFEITO!$J$248*EFEITO!$Y$248</f>
        <v>0</v>
      </c>
      <c r="K248" s="75">
        <f ca="1">EFEITO!$L$248*EFEITO!$Z$248</f>
        <v>680.20612768474598</v>
      </c>
      <c r="L248" s="75">
        <f>EFEITO!$N$248*EFEITO!$AA$248</f>
        <v>146.76661339588151</v>
      </c>
      <c r="M248" s="75">
        <f>$J$248-EFEITO!$K$248*EFEITO!$Y$248</f>
        <v>0</v>
      </c>
      <c r="N248" s="75">
        <f ca="1">$K$248-EFEITO!$M$248*EFEITO!$Z$248</f>
        <v>0</v>
      </c>
      <c r="O248" s="75">
        <f>$L$248-EFEITO!$O$248*EFEITO!$AA$248</f>
        <v>0</v>
      </c>
      <c r="P248" s="57"/>
      <c r="Q248" s="57"/>
      <c r="R248" s="57"/>
      <c r="S248" s="57"/>
      <c r="T248" s="57"/>
      <c r="U248" s="57"/>
      <c r="V248" s="57"/>
      <c r="W248" s="57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53" t="s">
        <v>21</v>
      </c>
      <c r="B249" s="53" t="s">
        <v>33</v>
      </c>
      <c r="C249" s="53" t="s">
        <v>23</v>
      </c>
      <c r="D249" s="53" t="s">
        <v>34</v>
      </c>
      <c r="E249" s="53" t="s">
        <v>25</v>
      </c>
      <c r="F249" s="53" t="s">
        <v>25</v>
      </c>
      <c r="G249" s="53" t="s">
        <v>25</v>
      </c>
      <c r="H249" s="53" t="s">
        <v>25</v>
      </c>
      <c r="I249" s="74">
        <v>44440</v>
      </c>
      <c r="J249" s="75">
        <f>EFEITO!$J$249*EFEITO!$Y$249</f>
        <v>0</v>
      </c>
      <c r="K249" s="75">
        <f ca="1">EFEITO!$L$249*EFEITO!$Z$249</f>
        <v>12950.078200151893</v>
      </c>
      <c r="L249" s="75">
        <f>EFEITO!$N$249*EFEITO!$AA$249</f>
        <v>2794.2105242677439</v>
      </c>
      <c r="M249" s="75">
        <f>$J$249-EFEITO!$K$249*EFEITO!$Y$249</f>
        <v>0</v>
      </c>
      <c r="N249" s="75">
        <f ca="1">$K$249-EFEITO!$M$249*EFEITO!$Z$249</f>
        <v>0</v>
      </c>
      <c r="O249" s="75">
        <f>$L$249-EFEITO!$O$249*EFEITO!$AA$249</f>
        <v>0</v>
      </c>
      <c r="P249" s="57"/>
      <c r="Q249" s="57"/>
      <c r="R249" s="57"/>
      <c r="S249" s="57"/>
      <c r="T249" s="57"/>
      <c r="U249" s="57"/>
      <c r="V249" s="57"/>
      <c r="W249" s="57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53" t="s">
        <v>28</v>
      </c>
      <c r="B250" s="53" t="s">
        <v>33</v>
      </c>
      <c r="C250" s="53" t="s">
        <v>23</v>
      </c>
      <c r="D250" s="53" t="s">
        <v>34</v>
      </c>
      <c r="E250" s="53" t="s">
        <v>25</v>
      </c>
      <c r="F250" s="53" t="s">
        <v>25</v>
      </c>
      <c r="G250" s="53" t="s">
        <v>25</v>
      </c>
      <c r="H250" s="53" t="s">
        <v>25</v>
      </c>
      <c r="I250" s="74">
        <v>44440</v>
      </c>
      <c r="J250" s="75">
        <f>EFEITO!$J$250*EFEITO!$Y$250</f>
        <v>0</v>
      </c>
      <c r="K250" s="75">
        <f ca="1">EFEITO!$L$250*EFEITO!$Z$250</f>
        <v>1015.0768366987746</v>
      </c>
      <c r="L250" s="75">
        <f>EFEITO!$N$250*EFEITO!$AA$250</f>
        <v>219.02094614462317</v>
      </c>
      <c r="M250" s="75">
        <f>$J$250-EFEITO!$K$250*EFEITO!$Y$250</f>
        <v>0</v>
      </c>
      <c r="N250" s="75">
        <f ca="1">$K$250-EFEITO!$M$250*EFEITO!$Z$250</f>
        <v>0</v>
      </c>
      <c r="O250" s="75">
        <f>$L$250-EFEITO!$O$250*EFEITO!$AA$250</f>
        <v>0</v>
      </c>
      <c r="P250" s="57"/>
      <c r="Q250" s="57"/>
      <c r="R250" s="57"/>
      <c r="S250" s="57"/>
      <c r="T250" s="57"/>
      <c r="U250" s="57"/>
      <c r="V250" s="57"/>
      <c r="W250" s="57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53" t="s">
        <v>21</v>
      </c>
      <c r="B251" s="53" t="s">
        <v>33</v>
      </c>
      <c r="C251" s="53" t="s">
        <v>23</v>
      </c>
      <c r="D251" s="53" t="s">
        <v>34</v>
      </c>
      <c r="E251" s="53" t="s">
        <v>25</v>
      </c>
      <c r="F251" s="53" t="s">
        <v>25</v>
      </c>
      <c r="G251" s="53" t="s">
        <v>25</v>
      </c>
      <c r="H251" s="53" t="s">
        <v>25</v>
      </c>
      <c r="I251" s="74">
        <v>44470</v>
      </c>
      <c r="J251" s="75">
        <f>EFEITO!$J$251*EFEITO!$Y$251</f>
        <v>0</v>
      </c>
      <c r="K251" s="75">
        <f ca="1">EFEITO!$L$251*EFEITO!$Z$251</f>
        <v>13155.186509422985</v>
      </c>
      <c r="L251" s="75">
        <f>EFEITO!$N$251*EFEITO!$AA$251</f>
        <v>2838.4663030763481</v>
      </c>
      <c r="M251" s="75">
        <f>$J$251-EFEITO!$K$251*EFEITO!$Y$251</f>
        <v>0</v>
      </c>
      <c r="N251" s="75">
        <f ca="1">$K$251-EFEITO!$M$251*EFEITO!$Z$251</f>
        <v>0</v>
      </c>
      <c r="O251" s="75">
        <f>$L$251-EFEITO!$O$251*EFEITO!$AA$251</f>
        <v>0</v>
      </c>
      <c r="P251" s="57"/>
      <c r="Q251" s="57"/>
      <c r="R251" s="57"/>
      <c r="S251" s="57"/>
      <c r="T251" s="57"/>
      <c r="U251" s="57"/>
      <c r="V251" s="57"/>
      <c r="W251" s="57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53" t="s">
        <v>28</v>
      </c>
      <c r="B252" s="53" t="s">
        <v>33</v>
      </c>
      <c r="C252" s="53" t="s">
        <v>23</v>
      </c>
      <c r="D252" s="53" t="s">
        <v>34</v>
      </c>
      <c r="E252" s="53" t="s">
        <v>25</v>
      </c>
      <c r="F252" s="53" t="s">
        <v>25</v>
      </c>
      <c r="G252" s="53" t="s">
        <v>25</v>
      </c>
      <c r="H252" s="53" t="s">
        <v>25</v>
      </c>
      <c r="I252" s="74">
        <v>44470</v>
      </c>
      <c r="J252" s="75">
        <f>EFEITO!$J$252*EFEITO!$Y$252</f>
        <v>0</v>
      </c>
      <c r="K252" s="75">
        <f ca="1">EFEITO!$L$252*EFEITO!$Z$252</f>
        <v>1495.4070099407722</v>
      </c>
      <c r="L252" s="75">
        <f>EFEITO!$N$252*EFEITO!$AA$252</f>
        <v>322.66075468109949</v>
      </c>
      <c r="M252" s="75">
        <f>$J$252-EFEITO!$K$252*EFEITO!$Y$252</f>
        <v>0</v>
      </c>
      <c r="N252" s="75">
        <f ca="1">$K$252-EFEITO!$M$252*EFEITO!$Z$252</f>
        <v>0</v>
      </c>
      <c r="O252" s="75">
        <f>$L$252-EFEITO!$O$252*EFEITO!$AA$252</f>
        <v>0</v>
      </c>
      <c r="P252" s="57"/>
      <c r="Q252" s="57"/>
      <c r="R252" s="57"/>
      <c r="S252" s="57"/>
      <c r="T252" s="57"/>
      <c r="U252" s="57"/>
      <c r="V252" s="57"/>
      <c r="W252" s="57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53" t="s">
        <v>21</v>
      </c>
      <c r="B253" s="53" t="s">
        <v>33</v>
      </c>
      <c r="C253" s="53" t="s">
        <v>23</v>
      </c>
      <c r="D253" s="53" t="s">
        <v>34</v>
      </c>
      <c r="E253" s="53" t="s">
        <v>25</v>
      </c>
      <c r="F253" s="53" t="s">
        <v>25</v>
      </c>
      <c r="G253" s="53" t="s">
        <v>25</v>
      </c>
      <c r="H253" s="53" t="s">
        <v>25</v>
      </c>
      <c r="I253" s="74">
        <v>44501</v>
      </c>
      <c r="J253" s="75">
        <f>EFEITO!$J$253*EFEITO!$Y$253</f>
        <v>0</v>
      </c>
      <c r="K253" s="75">
        <f ca="1">EFEITO!$L$253*EFEITO!$Z$253</f>
        <v>14008.06034644309</v>
      </c>
      <c r="L253" s="75">
        <f>EFEITO!$N$253*EFEITO!$AA$253</f>
        <v>3022.4890567957996</v>
      </c>
      <c r="M253" s="75">
        <f>$J$253-EFEITO!$K$253*EFEITO!$Y$253</f>
        <v>0</v>
      </c>
      <c r="N253" s="75">
        <f ca="1">$K$253-EFEITO!$M$253*EFEITO!$Z$253</f>
        <v>0</v>
      </c>
      <c r="O253" s="75">
        <f>$L$253-EFEITO!$O$253*EFEITO!$AA$253</f>
        <v>0</v>
      </c>
      <c r="P253" s="57"/>
      <c r="Q253" s="57"/>
      <c r="R253" s="57"/>
      <c r="S253" s="57"/>
      <c r="T253" s="57"/>
      <c r="U253" s="57"/>
      <c r="V253" s="57"/>
      <c r="W253" s="57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53" t="s">
        <v>28</v>
      </c>
      <c r="B254" s="53" t="s">
        <v>33</v>
      </c>
      <c r="C254" s="53" t="s">
        <v>23</v>
      </c>
      <c r="D254" s="53" t="s">
        <v>34</v>
      </c>
      <c r="E254" s="53" t="s">
        <v>25</v>
      </c>
      <c r="F254" s="53" t="s">
        <v>25</v>
      </c>
      <c r="G254" s="53" t="s">
        <v>25</v>
      </c>
      <c r="H254" s="53" t="s">
        <v>25</v>
      </c>
      <c r="I254" s="74">
        <v>44501</v>
      </c>
      <c r="J254" s="75">
        <f>EFEITO!$J$254*EFEITO!$Y$254</f>
        <v>0</v>
      </c>
      <c r="K254" s="75">
        <f ca="1">EFEITO!$L$254*EFEITO!$Z$254</f>
        <v>1311.2281199830563</v>
      </c>
      <c r="L254" s="75">
        <f>EFEITO!$N$254*EFEITO!$AA$254</f>
        <v>282.92087166929156</v>
      </c>
      <c r="M254" s="75">
        <f>$J$254-EFEITO!$K$254*EFEITO!$Y$254</f>
        <v>0</v>
      </c>
      <c r="N254" s="75">
        <f ca="1">$K$254-EFEITO!$M$254*EFEITO!$Z$254</f>
        <v>0</v>
      </c>
      <c r="O254" s="75">
        <f>$L$254-EFEITO!$O$254*EFEITO!$AA$254</f>
        <v>0</v>
      </c>
      <c r="P254" s="57"/>
      <c r="Q254" s="57"/>
      <c r="R254" s="57"/>
      <c r="S254" s="57"/>
      <c r="T254" s="57"/>
      <c r="U254" s="57"/>
      <c r="V254" s="57"/>
      <c r="W254" s="57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53" t="s">
        <v>21</v>
      </c>
      <c r="B255" s="53" t="s">
        <v>33</v>
      </c>
      <c r="C255" s="53" t="s">
        <v>23</v>
      </c>
      <c r="D255" s="53" t="s">
        <v>34</v>
      </c>
      <c r="E255" s="53" t="s">
        <v>25</v>
      </c>
      <c r="F255" s="53" t="s">
        <v>25</v>
      </c>
      <c r="G255" s="53" t="s">
        <v>25</v>
      </c>
      <c r="H255" s="53" t="s">
        <v>25</v>
      </c>
      <c r="I255" s="74">
        <v>44531</v>
      </c>
      <c r="J255" s="75">
        <f>EFEITO!$J$255*EFEITO!$Y$255</f>
        <v>0</v>
      </c>
      <c r="K255" s="75">
        <f ca="1">EFEITO!$L$255*EFEITO!$Z$255</f>
        <v>13874.112062837477</v>
      </c>
      <c r="L255" s="75">
        <f>EFEITO!$N$255*EFEITO!$AA$255</f>
        <v>2993.587323696303</v>
      </c>
      <c r="M255" s="75">
        <f>$J$255-EFEITO!$K$255*EFEITO!$Y$255</f>
        <v>0</v>
      </c>
      <c r="N255" s="75">
        <f ca="1">$K$255-EFEITO!$M$255*EFEITO!$Z$255</f>
        <v>0</v>
      </c>
      <c r="O255" s="75">
        <f>$L$255-EFEITO!$O$255*EFEITO!$AA$255</f>
        <v>0</v>
      </c>
      <c r="P255" s="57"/>
      <c r="Q255" s="57"/>
      <c r="R255" s="57"/>
      <c r="S255" s="57"/>
      <c r="T255" s="57"/>
      <c r="U255" s="57"/>
      <c r="V255" s="57"/>
      <c r="W255" s="57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53" t="s">
        <v>28</v>
      </c>
      <c r="B256" s="53" t="s">
        <v>33</v>
      </c>
      <c r="C256" s="53" t="s">
        <v>23</v>
      </c>
      <c r="D256" s="53" t="s">
        <v>34</v>
      </c>
      <c r="E256" s="53" t="s">
        <v>25</v>
      </c>
      <c r="F256" s="53" t="s">
        <v>25</v>
      </c>
      <c r="G256" s="53" t="s">
        <v>25</v>
      </c>
      <c r="H256" s="53" t="s">
        <v>25</v>
      </c>
      <c r="I256" s="74">
        <v>44531</v>
      </c>
      <c r="J256" s="75">
        <f>EFEITO!$J$256*EFEITO!$Y$256</f>
        <v>0</v>
      </c>
      <c r="K256" s="75">
        <f ca="1">EFEITO!$L$256*EFEITO!$Z$256</f>
        <v>1136.4674687163601</v>
      </c>
      <c r="L256" s="75">
        <f>EFEITO!$N$256*EFEITO!$AA$256</f>
        <v>245.21314176604204</v>
      </c>
      <c r="M256" s="75">
        <f>$J$256-EFEITO!$K$256*EFEITO!$Y$256</f>
        <v>0</v>
      </c>
      <c r="N256" s="75">
        <f ca="1">$K$256-EFEITO!$M$256*EFEITO!$Z$256</f>
        <v>0</v>
      </c>
      <c r="O256" s="75">
        <f>$L$256-EFEITO!$O$256*EFEITO!$AA$256</f>
        <v>0</v>
      </c>
      <c r="P256" s="57"/>
      <c r="Q256" s="57"/>
      <c r="R256" s="57"/>
      <c r="S256" s="57"/>
      <c r="T256" s="57"/>
      <c r="U256" s="57"/>
      <c r="V256" s="57"/>
      <c r="W256" s="57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53" t="s">
        <v>21</v>
      </c>
      <c r="B257" s="53" t="s">
        <v>33</v>
      </c>
      <c r="C257" s="53" t="s">
        <v>23</v>
      </c>
      <c r="D257" s="53" t="s">
        <v>34</v>
      </c>
      <c r="E257" s="53" t="s">
        <v>25</v>
      </c>
      <c r="F257" s="53" t="s">
        <v>25</v>
      </c>
      <c r="G257" s="53" t="s">
        <v>25</v>
      </c>
      <c r="H257" s="53" t="s">
        <v>25</v>
      </c>
      <c r="I257" s="74">
        <v>44562</v>
      </c>
      <c r="J257" s="75">
        <f>EFEITO!$J$257*EFEITO!$Y$257</f>
        <v>0</v>
      </c>
      <c r="K257" s="75">
        <f ca="1">EFEITO!$L$257*EFEITO!$Z$257</f>
        <v>14486.29757775375</v>
      </c>
      <c r="L257" s="75">
        <f>EFEITO!$N$257*EFEITO!$AA$257</f>
        <v>3125.6772757525964</v>
      </c>
      <c r="M257" s="75">
        <f>$J$257-EFEITO!$K$257*EFEITO!$Y$257</f>
        <v>0</v>
      </c>
      <c r="N257" s="75">
        <f ca="1">$K$257-EFEITO!$M$257*EFEITO!$Z$257</f>
        <v>0</v>
      </c>
      <c r="O257" s="75">
        <f>$L$257-EFEITO!$O$257*EFEITO!$AA$257</f>
        <v>0</v>
      </c>
      <c r="P257" s="57"/>
      <c r="Q257" s="57"/>
      <c r="R257" s="57"/>
      <c r="S257" s="57"/>
      <c r="T257" s="57"/>
      <c r="U257" s="57"/>
      <c r="V257" s="57"/>
      <c r="W257" s="57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53" t="s">
        <v>28</v>
      </c>
      <c r="B258" s="53" t="s">
        <v>33</v>
      </c>
      <c r="C258" s="53" t="s">
        <v>23</v>
      </c>
      <c r="D258" s="53" t="s">
        <v>34</v>
      </c>
      <c r="E258" s="53" t="s">
        <v>25</v>
      </c>
      <c r="F258" s="53" t="s">
        <v>25</v>
      </c>
      <c r="G258" s="53" t="s">
        <v>25</v>
      </c>
      <c r="H258" s="53" t="s">
        <v>25</v>
      </c>
      <c r="I258" s="74">
        <v>44562</v>
      </c>
      <c r="J258" s="75">
        <f>EFEITO!$J$258*EFEITO!$Y$258</f>
        <v>0</v>
      </c>
      <c r="K258" s="75">
        <f ca="1">EFEITO!$L$258*EFEITO!$Z$258</f>
        <v>2398.5114533129808</v>
      </c>
      <c r="L258" s="75">
        <f>EFEITO!$N$258*EFEITO!$AA$258</f>
        <v>517.52165831286209</v>
      </c>
      <c r="M258" s="75">
        <f>$J$258-EFEITO!$K$258*EFEITO!$Y$258</f>
        <v>0</v>
      </c>
      <c r="N258" s="75">
        <f ca="1">$K$258-EFEITO!$M$258*EFEITO!$Z$258</f>
        <v>0</v>
      </c>
      <c r="O258" s="75">
        <f>$L$258-EFEITO!$O$258*EFEITO!$AA$258</f>
        <v>0</v>
      </c>
      <c r="P258" s="57"/>
      <c r="Q258" s="57"/>
      <c r="R258" s="57"/>
      <c r="S258" s="57"/>
      <c r="T258" s="57"/>
      <c r="U258" s="57"/>
      <c r="V258" s="57"/>
      <c r="W258" s="57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53" t="s">
        <v>21</v>
      </c>
      <c r="B259" s="53" t="s">
        <v>33</v>
      </c>
      <c r="C259" s="53" t="s">
        <v>23</v>
      </c>
      <c r="D259" s="53" t="s">
        <v>34</v>
      </c>
      <c r="E259" s="53" t="s">
        <v>25</v>
      </c>
      <c r="F259" s="53" t="s">
        <v>25</v>
      </c>
      <c r="G259" s="53" t="s">
        <v>25</v>
      </c>
      <c r="H259" s="53" t="s">
        <v>25</v>
      </c>
      <c r="I259" s="74">
        <v>44593</v>
      </c>
      <c r="J259" s="75">
        <f>EFEITO!$J$259*EFEITO!$Y$259</f>
        <v>0</v>
      </c>
      <c r="K259" s="75">
        <f ca="1">EFEITO!$L$259*EFEITO!$Z$259</f>
        <v>16725.745444285069</v>
      </c>
      <c r="L259" s="75">
        <f>EFEITO!$N$259*EFEITO!$AA$259</f>
        <v>3608.8781260098062</v>
      </c>
      <c r="M259" s="75">
        <f>$J$259-EFEITO!$K$259*EFEITO!$Y$259</f>
        <v>0</v>
      </c>
      <c r="N259" s="75">
        <f ca="1">$K$259-EFEITO!$M$259*EFEITO!$Z$259</f>
        <v>0</v>
      </c>
      <c r="O259" s="75">
        <f>$L$259-EFEITO!$O$259*EFEITO!$AA$259</f>
        <v>0</v>
      </c>
      <c r="P259" s="57"/>
      <c r="Q259" s="57"/>
      <c r="R259" s="57"/>
      <c r="S259" s="57"/>
      <c r="T259" s="57"/>
      <c r="U259" s="57"/>
      <c r="V259" s="57"/>
      <c r="W259" s="57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53" t="s">
        <v>28</v>
      </c>
      <c r="B260" s="53" t="s">
        <v>33</v>
      </c>
      <c r="C260" s="53" t="s">
        <v>23</v>
      </c>
      <c r="D260" s="53" t="s">
        <v>34</v>
      </c>
      <c r="E260" s="53" t="s">
        <v>25</v>
      </c>
      <c r="F260" s="53" t="s">
        <v>25</v>
      </c>
      <c r="G260" s="53" t="s">
        <v>25</v>
      </c>
      <c r="H260" s="53" t="s">
        <v>25</v>
      </c>
      <c r="I260" s="74">
        <v>44593</v>
      </c>
      <c r="J260" s="75">
        <f>EFEITO!$J$260*EFEITO!$Y$260</f>
        <v>0</v>
      </c>
      <c r="K260" s="75">
        <f ca="1">EFEITO!$L$260*EFEITO!$Z$260</f>
        <v>594.39550849990098</v>
      </c>
      <c r="L260" s="75">
        <f>EFEITO!$N$260*EFEITO!$AA$260</f>
        <v>128.25144062901643</v>
      </c>
      <c r="M260" s="75">
        <f>$J$260-EFEITO!$K$260*EFEITO!$Y$260</f>
        <v>0</v>
      </c>
      <c r="N260" s="75">
        <f ca="1">$K$260-EFEITO!$M$260*EFEITO!$Z$260</f>
        <v>0</v>
      </c>
      <c r="O260" s="75">
        <f>$L$260-EFEITO!$O$260*EFEITO!$AA$260</f>
        <v>0</v>
      </c>
      <c r="P260" s="57"/>
      <c r="Q260" s="57"/>
      <c r="R260" s="57"/>
      <c r="S260" s="57"/>
      <c r="T260" s="57"/>
      <c r="U260" s="57"/>
      <c r="V260" s="57"/>
      <c r="W260" s="57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53" t="s">
        <v>21</v>
      </c>
      <c r="B261" s="53" t="s">
        <v>33</v>
      </c>
      <c r="C261" s="53" t="s">
        <v>23</v>
      </c>
      <c r="D261" s="53" t="s">
        <v>34</v>
      </c>
      <c r="E261" s="53" t="s">
        <v>25</v>
      </c>
      <c r="F261" s="53" t="s">
        <v>25</v>
      </c>
      <c r="G261" s="53" t="s">
        <v>25</v>
      </c>
      <c r="H261" s="53" t="s">
        <v>25</v>
      </c>
      <c r="I261" s="74">
        <v>44621</v>
      </c>
      <c r="J261" s="75">
        <f>EFEITO!$J$261*EFEITO!$Y$261</f>
        <v>0</v>
      </c>
      <c r="K261" s="75">
        <f ca="1">EFEITO!$L$261*EFEITO!$Z$261</f>
        <v>14686.173532196499</v>
      </c>
      <c r="L261" s="75">
        <f>EFEITO!$N$261*EFEITO!$AA$261</f>
        <v>3168.8040806120016</v>
      </c>
      <c r="M261" s="75">
        <f>$J$261-EFEITO!$K$261*EFEITO!$Y$261</f>
        <v>0</v>
      </c>
      <c r="N261" s="75">
        <f ca="1">$K$261-EFEITO!$M$261*EFEITO!$Z$261</f>
        <v>0</v>
      </c>
      <c r="O261" s="75">
        <f>$L$261-EFEITO!$O$261*EFEITO!$AA$261</f>
        <v>0</v>
      </c>
      <c r="P261" s="57"/>
      <c r="Q261" s="57"/>
      <c r="R261" s="57"/>
      <c r="S261" s="57"/>
      <c r="T261" s="57"/>
      <c r="U261" s="57"/>
      <c r="V261" s="57"/>
      <c r="W261" s="57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53" t="s">
        <v>28</v>
      </c>
      <c r="B262" s="53" t="s">
        <v>33</v>
      </c>
      <c r="C262" s="53" t="s">
        <v>23</v>
      </c>
      <c r="D262" s="53" t="s">
        <v>34</v>
      </c>
      <c r="E262" s="53" t="s">
        <v>25</v>
      </c>
      <c r="F262" s="53" t="s">
        <v>25</v>
      </c>
      <c r="G262" s="53" t="s">
        <v>25</v>
      </c>
      <c r="H262" s="53" t="s">
        <v>25</v>
      </c>
      <c r="I262" s="74">
        <v>44621</v>
      </c>
      <c r="J262" s="75">
        <f>EFEITO!$J$262*EFEITO!$Y$262</f>
        <v>0</v>
      </c>
      <c r="K262" s="75">
        <f ca="1">EFEITO!$L$262*EFEITO!$Z$262</f>
        <v>104.64709656688399</v>
      </c>
      <c r="L262" s="75">
        <f>EFEITO!$N$262*EFEITO!$AA$262</f>
        <v>22.579478983981772</v>
      </c>
      <c r="M262" s="75">
        <f>$J$262-EFEITO!$K$262*EFEITO!$Y$262</f>
        <v>0</v>
      </c>
      <c r="N262" s="75">
        <f ca="1">$K$262-EFEITO!$M$262*EFEITO!$Z$262</f>
        <v>0</v>
      </c>
      <c r="O262" s="75">
        <f>$L$262-EFEITO!$O$262*EFEITO!$AA$262</f>
        <v>0</v>
      </c>
      <c r="P262" s="57"/>
      <c r="Q262" s="57"/>
      <c r="R262" s="57"/>
      <c r="S262" s="57"/>
      <c r="T262" s="57"/>
      <c r="U262" s="57"/>
      <c r="V262" s="57"/>
      <c r="W262" s="57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53" t="s">
        <v>21</v>
      </c>
      <c r="B263" s="53" t="s">
        <v>33</v>
      </c>
      <c r="C263" s="53" t="s">
        <v>23</v>
      </c>
      <c r="D263" s="53" t="s">
        <v>42</v>
      </c>
      <c r="E263" s="53" t="s">
        <v>25</v>
      </c>
      <c r="F263" s="53" t="s">
        <v>25</v>
      </c>
      <c r="G263" s="53" t="s">
        <v>25</v>
      </c>
      <c r="H263" s="53" t="s">
        <v>25</v>
      </c>
      <c r="I263" s="74">
        <v>44287</v>
      </c>
      <c r="J263" s="75">
        <f>EFEITO!$J$263*EFEITO!$Y$263</f>
        <v>0</v>
      </c>
      <c r="K263" s="75">
        <f ca="1">EFEITO!$L$263*EFEITO!$Z$263</f>
        <v>6925.5448507963829</v>
      </c>
      <c r="L263" s="75">
        <f>EFEITO!$N$263*EFEITO!$AA$263</f>
        <v>1494.3099191599135</v>
      </c>
      <c r="M263" s="75">
        <f>$J$263-EFEITO!$K$263*EFEITO!$Y$263</f>
        <v>0</v>
      </c>
      <c r="N263" s="75">
        <f ca="1">$K$263-EFEITO!$M$263*EFEITO!$Z$263</f>
        <v>0</v>
      </c>
      <c r="O263" s="75">
        <f>$L$263-EFEITO!$O$263*EFEITO!$AA$263</f>
        <v>0</v>
      </c>
      <c r="P263" s="57"/>
      <c r="Q263" s="57"/>
      <c r="R263" s="57"/>
      <c r="S263" s="57"/>
      <c r="T263" s="57"/>
      <c r="U263" s="57"/>
      <c r="V263" s="57"/>
      <c r="W263" s="57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53" t="s">
        <v>21</v>
      </c>
      <c r="B264" s="53" t="s">
        <v>33</v>
      </c>
      <c r="C264" s="53" t="s">
        <v>23</v>
      </c>
      <c r="D264" s="53" t="s">
        <v>42</v>
      </c>
      <c r="E264" s="53" t="s">
        <v>25</v>
      </c>
      <c r="F264" s="53" t="s">
        <v>25</v>
      </c>
      <c r="G264" s="53" t="s">
        <v>25</v>
      </c>
      <c r="H264" s="53" t="s">
        <v>25</v>
      </c>
      <c r="I264" s="74">
        <v>44317</v>
      </c>
      <c r="J264" s="75">
        <f>EFEITO!$J$264*EFEITO!$Y$264</f>
        <v>0</v>
      </c>
      <c r="K264" s="75">
        <f ca="1">EFEITO!$L$264*EFEITO!$Z$264</f>
        <v>5631.0602662640276</v>
      </c>
      <c r="L264" s="75">
        <f>EFEITO!$N$264*EFEITO!$AA$264</f>
        <v>1215.001764128059</v>
      </c>
      <c r="M264" s="75">
        <f>$J$264-EFEITO!$K$264*EFEITO!$Y$264</f>
        <v>0</v>
      </c>
      <c r="N264" s="75">
        <f ca="1">$K$264-EFEITO!$M$264*EFEITO!$Z$264</f>
        <v>0</v>
      </c>
      <c r="O264" s="75">
        <f>$L$264-EFEITO!$O$264*EFEITO!$AA$264</f>
        <v>0</v>
      </c>
      <c r="P264" s="57"/>
      <c r="Q264" s="57"/>
      <c r="R264" s="57"/>
      <c r="S264" s="57"/>
      <c r="T264" s="57"/>
      <c r="U264" s="57"/>
      <c r="V264" s="57"/>
      <c r="W264" s="57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53" t="s">
        <v>21</v>
      </c>
      <c r="B265" s="53" t="s">
        <v>33</v>
      </c>
      <c r="C265" s="53" t="s">
        <v>23</v>
      </c>
      <c r="D265" s="53" t="s">
        <v>42</v>
      </c>
      <c r="E265" s="53" t="s">
        <v>25</v>
      </c>
      <c r="F265" s="53" t="s">
        <v>25</v>
      </c>
      <c r="G265" s="53" t="s">
        <v>25</v>
      </c>
      <c r="H265" s="53" t="s">
        <v>25</v>
      </c>
      <c r="I265" s="74">
        <v>44348</v>
      </c>
      <c r="J265" s="75">
        <f>EFEITO!$J$265*EFEITO!$Y$265</f>
        <v>0</v>
      </c>
      <c r="K265" s="75">
        <f ca="1">EFEITO!$L$265*EFEITO!$Z$265</f>
        <v>5199.9142284084655</v>
      </c>
      <c r="L265" s="75">
        <f>EFEITO!$N$265*EFEITO!$AA$265</f>
        <v>1121.9743107140541</v>
      </c>
      <c r="M265" s="75">
        <f>$J$265-EFEITO!$K$265*EFEITO!$Y$265</f>
        <v>0</v>
      </c>
      <c r="N265" s="75">
        <f ca="1">$K$265-EFEITO!$M$265*EFEITO!$Z$265</f>
        <v>0</v>
      </c>
      <c r="O265" s="75">
        <f>$L$265-EFEITO!$O$265*EFEITO!$AA$265</f>
        <v>0</v>
      </c>
      <c r="P265" s="57"/>
      <c r="Q265" s="57"/>
      <c r="R265" s="57"/>
      <c r="S265" s="57"/>
      <c r="T265" s="57"/>
      <c r="U265" s="57"/>
      <c r="V265" s="57"/>
      <c r="W265" s="57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53" t="s">
        <v>21</v>
      </c>
      <c r="B266" s="53" t="s">
        <v>33</v>
      </c>
      <c r="C266" s="53" t="s">
        <v>23</v>
      </c>
      <c r="D266" s="53" t="s">
        <v>42</v>
      </c>
      <c r="E266" s="53" t="s">
        <v>25</v>
      </c>
      <c r="F266" s="53" t="s">
        <v>25</v>
      </c>
      <c r="G266" s="53" t="s">
        <v>25</v>
      </c>
      <c r="H266" s="53" t="s">
        <v>25</v>
      </c>
      <c r="I266" s="74">
        <v>44378</v>
      </c>
      <c r="J266" s="75">
        <f>EFEITO!$J$266*EFEITO!$Y$266</f>
        <v>0</v>
      </c>
      <c r="K266" s="75">
        <f ca="1">EFEITO!$L$266*EFEITO!$Z$266</f>
        <v>4932.0176611972429</v>
      </c>
      <c r="L266" s="75">
        <f>EFEITO!$N$266*EFEITO!$AA$266</f>
        <v>1064.1708445150607</v>
      </c>
      <c r="M266" s="75">
        <f>$J$266-EFEITO!$K$266*EFEITO!$Y$266</f>
        <v>0</v>
      </c>
      <c r="N266" s="75">
        <f ca="1">$K$266-EFEITO!$M$266*EFEITO!$Z$266</f>
        <v>0</v>
      </c>
      <c r="O266" s="75">
        <f>$L$266-EFEITO!$O$266*EFEITO!$AA$266</f>
        <v>0</v>
      </c>
      <c r="P266" s="57"/>
      <c r="Q266" s="57"/>
      <c r="R266" s="57"/>
      <c r="S266" s="57"/>
      <c r="T266" s="57"/>
      <c r="U266" s="57"/>
      <c r="V266" s="57"/>
      <c r="W266" s="57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53" t="s">
        <v>21</v>
      </c>
      <c r="B267" s="53" t="s">
        <v>33</v>
      </c>
      <c r="C267" s="53" t="s">
        <v>23</v>
      </c>
      <c r="D267" s="53" t="s">
        <v>42</v>
      </c>
      <c r="E267" s="53" t="s">
        <v>25</v>
      </c>
      <c r="F267" s="53" t="s">
        <v>25</v>
      </c>
      <c r="G267" s="53" t="s">
        <v>25</v>
      </c>
      <c r="H267" s="53" t="s">
        <v>25</v>
      </c>
      <c r="I267" s="74">
        <v>44409</v>
      </c>
      <c r="J267" s="75">
        <f>EFEITO!$J$267*EFEITO!$Y$267</f>
        <v>0</v>
      </c>
      <c r="K267" s="75">
        <f ca="1">EFEITO!$L$267*EFEITO!$Z$267</f>
        <v>5777.5662014576646</v>
      </c>
      <c r="L267" s="75">
        <f>EFEITO!$N$267*EFEITO!$AA$267</f>
        <v>1246.6130347056335</v>
      </c>
      <c r="M267" s="75">
        <f>$J$267-EFEITO!$K$267*EFEITO!$Y$267</f>
        <v>0</v>
      </c>
      <c r="N267" s="75">
        <f ca="1">$K$267-EFEITO!$M$267*EFEITO!$Z$267</f>
        <v>0</v>
      </c>
      <c r="O267" s="75">
        <f>$L$267-EFEITO!$O$267*EFEITO!$AA$267</f>
        <v>0</v>
      </c>
      <c r="P267" s="57"/>
      <c r="Q267" s="57"/>
      <c r="R267" s="57"/>
      <c r="S267" s="57"/>
      <c r="T267" s="57"/>
      <c r="U267" s="57"/>
      <c r="V267" s="57"/>
      <c r="W267" s="57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53" t="s">
        <v>21</v>
      </c>
      <c r="B268" s="53" t="s">
        <v>33</v>
      </c>
      <c r="C268" s="53" t="s">
        <v>23</v>
      </c>
      <c r="D268" s="53" t="s">
        <v>42</v>
      </c>
      <c r="E268" s="53" t="s">
        <v>25</v>
      </c>
      <c r="F268" s="53" t="s">
        <v>25</v>
      </c>
      <c r="G268" s="53" t="s">
        <v>25</v>
      </c>
      <c r="H268" s="53" t="s">
        <v>25</v>
      </c>
      <c r="I268" s="74">
        <v>44440</v>
      </c>
      <c r="J268" s="75">
        <f>EFEITO!$J$268*EFEITO!$Y$268</f>
        <v>0</v>
      </c>
      <c r="K268" s="75">
        <f ca="1">EFEITO!$L$268*EFEITO!$Z$268</f>
        <v>8666.8725376693328</v>
      </c>
      <c r="L268" s="75">
        <f>EFEITO!$N$268*EFEITO!$AA$268</f>
        <v>1870.0324494533702</v>
      </c>
      <c r="M268" s="75">
        <f>$J$268-EFEITO!$K$268*EFEITO!$Y$268</f>
        <v>0</v>
      </c>
      <c r="N268" s="75">
        <f ca="1">$K$268-EFEITO!$M$268*EFEITO!$Z$268</f>
        <v>0</v>
      </c>
      <c r="O268" s="75">
        <f>$L$268-EFEITO!$O$268*EFEITO!$AA$268</f>
        <v>0</v>
      </c>
      <c r="P268" s="57"/>
      <c r="Q268" s="57"/>
      <c r="R268" s="57"/>
      <c r="S268" s="57"/>
      <c r="T268" s="57"/>
      <c r="U268" s="57"/>
      <c r="V268" s="57"/>
      <c r="W268" s="57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53" t="s">
        <v>21</v>
      </c>
      <c r="B269" s="53" t="s">
        <v>33</v>
      </c>
      <c r="C269" s="53" t="s">
        <v>23</v>
      </c>
      <c r="D269" s="53" t="s">
        <v>42</v>
      </c>
      <c r="E269" s="53" t="s">
        <v>25</v>
      </c>
      <c r="F269" s="53" t="s">
        <v>25</v>
      </c>
      <c r="G269" s="53" t="s">
        <v>25</v>
      </c>
      <c r="H269" s="53" t="s">
        <v>25</v>
      </c>
      <c r="I269" s="74">
        <v>44470</v>
      </c>
      <c r="J269" s="75">
        <f>EFEITO!$J$269*EFEITO!$Y$269</f>
        <v>0</v>
      </c>
      <c r="K269" s="75">
        <f ca="1">EFEITO!$L$269*EFEITO!$Z$269</f>
        <v>9634.8581809130101</v>
      </c>
      <c r="L269" s="75">
        <f>EFEITO!$N$269*EFEITO!$AA$269</f>
        <v>2078.8926300552016</v>
      </c>
      <c r="M269" s="75">
        <f>$J$269-EFEITO!$K$269*EFEITO!$Y$269</f>
        <v>0</v>
      </c>
      <c r="N269" s="75">
        <f ca="1">$K$269-EFEITO!$M$269*EFEITO!$Z$269</f>
        <v>0</v>
      </c>
      <c r="O269" s="75">
        <f>$L$269-EFEITO!$O$269*EFEITO!$AA$269</f>
        <v>0</v>
      </c>
      <c r="P269" s="57"/>
      <c r="Q269" s="57"/>
      <c r="R269" s="57"/>
      <c r="S269" s="57"/>
      <c r="T269" s="57"/>
      <c r="U269" s="57"/>
      <c r="V269" s="57"/>
      <c r="W269" s="57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53" t="s">
        <v>21</v>
      </c>
      <c r="B270" s="53" t="s">
        <v>33</v>
      </c>
      <c r="C270" s="53" t="s">
        <v>23</v>
      </c>
      <c r="D270" s="53" t="s">
        <v>42</v>
      </c>
      <c r="E270" s="53" t="s">
        <v>25</v>
      </c>
      <c r="F270" s="53" t="s">
        <v>25</v>
      </c>
      <c r="G270" s="53" t="s">
        <v>25</v>
      </c>
      <c r="H270" s="53" t="s">
        <v>25</v>
      </c>
      <c r="I270" s="74">
        <v>44501</v>
      </c>
      <c r="J270" s="75">
        <f>EFEITO!$J$270*EFEITO!$Y$270</f>
        <v>0</v>
      </c>
      <c r="K270" s="75">
        <f ca="1">EFEITO!$L$270*EFEITO!$Z$270</f>
        <v>8891.8637952881327</v>
      </c>
      <c r="L270" s="75">
        <f>EFEITO!$N$270*EFEITO!$AA$270</f>
        <v>1918.5783292689309</v>
      </c>
      <c r="M270" s="75">
        <f>$J$270-EFEITO!$K$270*EFEITO!$Y$270</f>
        <v>0</v>
      </c>
      <c r="N270" s="75">
        <f ca="1">$K$270-EFEITO!$M$270*EFEITO!$Z$270</f>
        <v>0</v>
      </c>
      <c r="O270" s="75">
        <f>$L$270-EFEITO!$O$270*EFEITO!$AA$270</f>
        <v>0</v>
      </c>
      <c r="P270" s="57"/>
      <c r="Q270" s="57"/>
      <c r="R270" s="57"/>
      <c r="S270" s="57"/>
      <c r="T270" s="57"/>
      <c r="U270" s="57"/>
      <c r="V270" s="57"/>
      <c r="W270" s="57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53" t="s">
        <v>21</v>
      </c>
      <c r="B271" s="53" t="s">
        <v>33</v>
      </c>
      <c r="C271" s="53" t="s">
        <v>23</v>
      </c>
      <c r="D271" s="53" t="s">
        <v>42</v>
      </c>
      <c r="E271" s="53" t="s">
        <v>25</v>
      </c>
      <c r="F271" s="53" t="s">
        <v>25</v>
      </c>
      <c r="G271" s="53" t="s">
        <v>25</v>
      </c>
      <c r="H271" s="53" t="s">
        <v>25</v>
      </c>
      <c r="I271" s="74">
        <v>44531</v>
      </c>
      <c r="J271" s="75">
        <f>EFEITO!$J$271*EFEITO!$Y$271</f>
        <v>0</v>
      </c>
      <c r="K271" s="75">
        <f ca="1">EFEITO!$L$271*EFEITO!$Z$271</f>
        <v>10077.515399390928</v>
      </c>
      <c r="L271" s="75">
        <f>EFEITO!$N$271*EFEITO!$AA$271</f>
        <v>2174.4038261574447</v>
      </c>
      <c r="M271" s="75">
        <f>$J$271-EFEITO!$K$271*EFEITO!$Y$271</f>
        <v>0</v>
      </c>
      <c r="N271" s="75">
        <f ca="1">$K$271-EFEITO!$M$271*EFEITO!$Z$271</f>
        <v>0</v>
      </c>
      <c r="O271" s="75">
        <f>$L$271-EFEITO!$O$271*EFEITO!$AA$271</f>
        <v>0</v>
      </c>
      <c r="P271" s="57"/>
      <c r="Q271" s="57"/>
      <c r="R271" s="57"/>
      <c r="S271" s="57"/>
      <c r="T271" s="57"/>
      <c r="U271" s="57"/>
      <c r="V271" s="57"/>
      <c r="W271" s="57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53" t="s">
        <v>21</v>
      </c>
      <c r="B272" s="53" t="s">
        <v>33</v>
      </c>
      <c r="C272" s="53" t="s">
        <v>23</v>
      </c>
      <c r="D272" s="53" t="s">
        <v>42</v>
      </c>
      <c r="E272" s="53" t="s">
        <v>25</v>
      </c>
      <c r="F272" s="53" t="s">
        <v>25</v>
      </c>
      <c r="G272" s="53" t="s">
        <v>25</v>
      </c>
      <c r="H272" s="53" t="s">
        <v>25</v>
      </c>
      <c r="I272" s="74">
        <v>44562</v>
      </c>
      <c r="J272" s="75">
        <f>EFEITO!$J$272*EFEITO!$Y$272</f>
        <v>0</v>
      </c>
      <c r="K272" s="75">
        <f ca="1">EFEITO!$L$272*EFEITO!$Z$272</f>
        <v>7072.0507859900199</v>
      </c>
      <c r="L272" s="75">
        <f>EFEITO!$N$272*EFEITO!$AA$272</f>
        <v>1525.921189737488</v>
      </c>
      <c r="M272" s="75">
        <f>$J$272-EFEITO!$K$272*EFEITO!$Y$272</f>
        <v>0</v>
      </c>
      <c r="N272" s="75">
        <f ca="1">$K$272-EFEITO!$M$272*EFEITO!$Z$272</f>
        <v>0</v>
      </c>
      <c r="O272" s="75">
        <f>$L$272-EFEITO!$O$272*EFEITO!$AA$272</f>
        <v>0</v>
      </c>
      <c r="P272" s="57"/>
      <c r="Q272" s="57"/>
      <c r="R272" s="57"/>
      <c r="S272" s="57"/>
      <c r="T272" s="57"/>
      <c r="U272" s="57"/>
      <c r="V272" s="57"/>
      <c r="W272" s="57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53" t="s">
        <v>21</v>
      </c>
      <c r="B273" s="53" t="s">
        <v>33</v>
      </c>
      <c r="C273" s="53" t="s">
        <v>23</v>
      </c>
      <c r="D273" s="53" t="s">
        <v>42</v>
      </c>
      <c r="E273" s="53" t="s">
        <v>25</v>
      </c>
      <c r="F273" s="53" t="s">
        <v>25</v>
      </c>
      <c r="G273" s="53" t="s">
        <v>25</v>
      </c>
      <c r="H273" s="53" t="s">
        <v>25</v>
      </c>
      <c r="I273" s="74">
        <v>44593</v>
      </c>
      <c r="J273" s="75">
        <f>EFEITO!$J$273*EFEITO!$Y$273</f>
        <v>0</v>
      </c>
      <c r="K273" s="75">
        <f ca="1">EFEITO!$L$273*EFEITO!$Z$273</f>
        <v>10389.363747160243</v>
      </c>
      <c r="L273" s="75">
        <f>EFEITO!$N$273*EFEITO!$AA$273</f>
        <v>2241.6906735297102</v>
      </c>
      <c r="M273" s="75">
        <f>$J$273-EFEITO!$K$273*EFEITO!$Y$273</f>
        <v>0</v>
      </c>
      <c r="N273" s="75">
        <f ca="1">$K$273-EFEITO!$M$273*EFEITO!$Z$273</f>
        <v>0</v>
      </c>
      <c r="O273" s="75">
        <f>$L$273-EFEITO!$O$273*EFEITO!$AA$273</f>
        <v>0</v>
      </c>
      <c r="P273" s="57"/>
      <c r="Q273" s="57"/>
      <c r="R273" s="57"/>
      <c r="S273" s="57"/>
      <c r="T273" s="57"/>
      <c r="U273" s="57"/>
      <c r="V273" s="57"/>
      <c r="W273" s="57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53" t="s">
        <v>21</v>
      </c>
      <c r="B274" s="53" t="s">
        <v>33</v>
      </c>
      <c r="C274" s="53" t="s">
        <v>23</v>
      </c>
      <c r="D274" s="53" t="s">
        <v>42</v>
      </c>
      <c r="E274" s="53" t="s">
        <v>25</v>
      </c>
      <c r="F274" s="53" t="s">
        <v>25</v>
      </c>
      <c r="G274" s="53" t="s">
        <v>25</v>
      </c>
      <c r="H274" s="53" t="s">
        <v>25</v>
      </c>
      <c r="I274" s="74">
        <v>44621</v>
      </c>
      <c r="J274" s="75">
        <f>EFEITO!$J$274*EFEITO!$Y$274</f>
        <v>0</v>
      </c>
      <c r="K274" s="75">
        <f ca="1">EFEITO!$L$274*EFEITO!$Z$274</f>
        <v>12502.188626845629</v>
      </c>
      <c r="L274" s="75">
        <f>EFEITO!$N$274*EFEITO!$AA$274</f>
        <v>2697.5703542163019</v>
      </c>
      <c r="M274" s="75">
        <f>$J$274-EFEITO!$K$274*EFEITO!$Y$274</f>
        <v>0</v>
      </c>
      <c r="N274" s="75">
        <f ca="1">$K$274-EFEITO!$M$274*EFEITO!$Z$274</f>
        <v>0</v>
      </c>
      <c r="O274" s="75">
        <f>$L$274-EFEITO!$O$274*EFEITO!$AA$274</f>
        <v>0</v>
      </c>
      <c r="P274" s="57"/>
      <c r="Q274" s="57"/>
      <c r="R274" s="57"/>
      <c r="S274" s="57"/>
      <c r="T274" s="57"/>
      <c r="U274" s="57"/>
      <c r="V274" s="57"/>
      <c r="W274" s="57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53" t="s">
        <v>21</v>
      </c>
      <c r="B275" s="53" t="s">
        <v>33</v>
      </c>
      <c r="C275" s="53" t="s">
        <v>23</v>
      </c>
      <c r="D275" s="53" t="s">
        <v>46</v>
      </c>
      <c r="E275" s="53" t="s">
        <v>47</v>
      </c>
      <c r="F275" s="53" t="s">
        <v>25</v>
      </c>
      <c r="G275" s="53" t="s">
        <v>25</v>
      </c>
      <c r="H275" s="53" t="s">
        <v>25</v>
      </c>
      <c r="I275" s="74">
        <v>44287</v>
      </c>
      <c r="J275" s="75">
        <f>EFEITO!$J$275*EFEITO!$Y$274</f>
        <v>0</v>
      </c>
      <c r="K275" s="75">
        <f ca="1">EFEITO!$L$275*EFEITO!$Z$274</f>
        <v>7948.9934552205077</v>
      </c>
      <c r="L275" s="75">
        <f>EFEITO!$N$275*EFEITO!$AA$274</f>
        <v>1715.1372236232553</v>
      </c>
      <c r="M275" s="75">
        <f>$J$275-EFEITO!$K$275*EFEITO!$Y$275</f>
        <v>0</v>
      </c>
      <c r="N275" s="75">
        <f ca="1">$K$275-EFEITO!$M$275*EFEITO!$Z$275</f>
        <v>238.46980365661511</v>
      </c>
      <c r="O275" s="75">
        <f>$L$275-EFEITO!$O$275*EFEITO!$AA$275</f>
        <v>51.454116708697711</v>
      </c>
      <c r="P275" s="57"/>
      <c r="Q275" s="57"/>
      <c r="R275" s="57"/>
      <c r="S275" s="57"/>
      <c r="T275" s="57"/>
      <c r="U275" s="57"/>
      <c r="V275" s="57"/>
      <c r="W275" s="57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53" t="s">
        <v>21</v>
      </c>
      <c r="B276" s="53" t="s">
        <v>33</v>
      </c>
      <c r="C276" s="53" t="s">
        <v>23</v>
      </c>
      <c r="D276" s="53" t="s">
        <v>46</v>
      </c>
      <c r="E276" s="53" t="s">
        <v>47</v>
      </c>
      <c r="F276" s="53" t="s">
        <v>25</v>
      </c>
      <c r="G276" s="53" t="s">
        <v>25</v>
      </c>
      <c r="H276" s="53" t="s">
        <v>25</v>
      </c>
      <c r="I276" s="74">
        <v>44317</v>
      </c>
      <c r="J276" s="75">
        <f>EFEITO!$J$276*EFEITO!$Y$274</f>
        <v>0</v>
      </c>
      <c r="K276" s="75">
        <f ca="1">EFEITO!$L$276*EFEITO!$Z$274</f>
        <v>8200.1464869810297</v>
      </c>
      <c r="L276" s="75">
        <f>EFEITO!$N$276*EFEITO!$AA$274</f>
        <v>1769.3279731848115</v>
      </c>
      <c r="M276" s="75">
        <f>$J$276-EFEITO!$K$276*EFEITO!$Y$276</f>
        <v>0</v>
      </c>
      <c r="N276" s="75">
        <f ca="1">$K$276-EFEITO!$M$276*EFEITO!$Z$276</f>
        <v>246.00439460943107</v>
      </c>
      <c r="O276" s="75">
        <f>$L$276-EFEITO!$O$276*EFEITO!$AA$276</f>
        <v>53.079839195544309</v>
      </c>
      <c r="P276" s="57"/>
      <c r="Q276" s="57"/>
      <c r="R276" s="57"/>
      <c r="S276" s="57"/>
      <c r="T276" s="57"/>
      <c r="U276" s="57"/>
      <c r="V276" s="57"/>
      <c r="W276" s="57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53" t="s">
        <v>21</v>
      </c>
      <c r="B277" s="53" t="s">
        <v>33</v>
      </c>
      <c r="C277" s="53" t="s">
        <v>23</v>
      </c>
      <c r="D277" s="53" t="s">
        <v>46</v>
      </c>
      <c r="E277" s="53" t="s">
        <v>47</v>
      </c>
      <c r="F277" s="53" t="s">
        <v>25</v>
      </c>
      <c r="G277" s="53" t="s">
        <v>25</v>
      </c>
      <c r="H277" s="53" t="s">
        <v>25</v>
      </c>
      <c r="I277" s="74">
        <v>44348</v>
      </c>
      <c r="J277" s="75">
        <f>EFEITO!$J$277*EFEITO!$Y$274</f>
        <v>0</v>
      </c>
      <c r="K277" s="75">
        <f ca="1">EFEITO!$L$277*EFEITO!$Z$274</f>
        <v>8607.2236926262085</v>
      </c>
      <c r="L277" s="75">
        <f>EFEITO!$N$277*EFEITO!$AA$274</f>
        <v>1857.1621464325005</v>
      </c>
      <c r="M277" s="75">
        <f>$J$277-EFEITO!$K$277*EFEITO!$Y$277</f>
        <v>0</v>
      </c>
      <c r="N277" s="75">
        <f ca="1">$K$277-EFEITO!$M$277*EFEITO!$Z$277</f>
        <v>258.21671077878818</v>
      </c>
      <c r="O277" s="75">
        <f>$L$277-EFEITO!$O$277*EFEITO!$AA$277</f>
        <v>55.714864392975187</v>
      </c>
      <c r="P277" s="57"/>
      <c r="Q277" s="57"/>
      <c r="R277" s="57"/>
      <c r="S277" s="57"/>
      <c r="T277" s="57"/>
      <c r="U277" s="57"/>
      <c r="V277" s="57"/>
      <c r="W277" s="57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53" t="s">
        <v>21</v>
      </c>
      <c r="B278" s="53" t="s">
        <v>33</v>
      </c>
      <c r="C278" s="53" t="s">
        <v>23</v>
      </c>
      <c r="D278" s="53" t="s">
        <v>46</v>
      </c>
      <c r="E278" s="53" t="s">
        <v>47</v>
      </c>
      <c r="F278" s="53" t="s">
        <v>25</v>
      </c>
      <c r="G278" s="53" t="s">
        <v>25</v>
      </c>
      <c r="H278" s="53" t="s">
        <v>25</v>
      </c>
      <c r="I278" s="74">
        <v>44378</v>
      </c>
      <c r="J278" s="75">
        <f>EFEITO!$J$278*EFEITO!$Y$274</f>
        <v>0</v>
      </c>
      <c r="K278" s="75">
        <f ca="1">EFEITO!$L$278*EFEITO!$Z$274</f>
        <v>8511.9948347503432</v>
      </c>
      <c r="L278" s="75">
        <f>EFEITO!$N$278*EFEITO!$AA$274</f>
        <v>1836.6148205570771</v>
      </c>
      <c r="M278" s="75">
        <f>$J$278-EFEITO!$K$278*EFEITO!$Y$278</f>
        <v>0</v>
      </c>
      <c r="N278" s="75">
        <f ca="1">$K$278-EFEITO!$M$278*EFEITO!$Z$278</f>
        <v>255.35984504251064</v>
      </c>
      <c r="O278" s="75">
        <f>$L$278-EFEITO!$O$278*EFEITO!$AA$278</f>
        <v>55.098444616712186</v>
      </c>
      <c r="P278" s="57"/>
      <c r="Q278" s="57"/>
      <c r="R278" s="57"/>
      <c r="S278" s="57"/>
      <c r="T278" s="57"/>
      <c r="U278" s="57"/>
      <c r="V278" s="57"/>
      <c r="W278" s="57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53" t="s">
        <v>21</v>
      </c>
      <c r="B279" s="53" t="s">
        <v>33</v>
      </c>
      <c r="C279" s="53" t="s">
        <v>23</v>
      </c>
      <c r="D279" s="53" t="s">
        <v>46</v>
      </c>
      <c r="E279" s="53" t="s">
        <v>47</v>
      </c>
      <c r="F279" s="53" t="s">
        <v>25</v>
      </c>
      <c r="G279" s="53" t="s">
        <v>25</v>
      </c>
      <c r="H279" s="53" t="s">
        <v>25</v>
      </c>
      <c r="I279" s="74">
        <v>44409</v>
      </c>
      <c r="J279" s="75">
        <f>EFEITO!$J$279*EFEITO!$Y$274</f>
        <v>0</v>
      </c>
      <c r="K279" s="75">
        <f ca="1">EFEITO!$L$279*EFEITO!$Z$274</f>
        <v>9551.1405036595024</v>
      </c>
      <c r="L279" s="75">
        <f>EFEITO!$N$279*EFEITO!$AA$274</f>
        <v>2060.8290468680161</v>
      </c>
      <c r="M279" s="75">
        <f>$J$279-EFEITO!$K$279*EFEITO!$Y$279</f>
        <v>0</v>
      </c>
      <c r="N279" s="75">
        <f ca="1">$K$279-EFEITO!$M$279*EFEITO!$Z$279</f>
        <v>286.5342151097866</v>
      </c>
      <c r="O279" s="75">
        <f>$L$279-EFEITO!$O$279*EFEITO!$AA$279</f>
        <v>61.824871406040302</v>
      </c>
      <c r="P279" s="57"/>
      <c r="Q279" s="57"/>
      <c r="R279" s="57"/>
      <c r="S279" s="57"/>
      <c r="T279" s="57"/>
      <c r="U279" s="57"/>
      <c r="V279" s="57"/>
      <c r="W279" s="57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53" t="s">
        <v>21</v>
      </c>
      <c r="B280" s="53" t="s">
        <v>33</v>
      </c>
      <c r="C280" s="53" t="s">
        <v>23</v>
      </c>
      <c r="D280" s="53" t="s">
        <v>46</v>
      </c>
      <c r="E280" s="53" t="s">
        <v>47</v>
      </c>
      <c r="F280" s="53" t="s">
        <v>25</v>
      </c>
      <c r="G280" s="53" t="s">
        <v>25</v>
      </c>
      <c r="H280" s="53" t="s">
        <v>25</v>
      </c>
      <c r="I280" s="74">
        <v>44440</v>
      </c>
      <c r="J280" s="75">
        <f>EFEITO!$J$280*EFEITO!$Y$274</f>
        <v>0</v>
      </c>
      <c r="K280" s="75">
        <f ca="1">EFEITO!$L$280*EFEITO!$Z$274</f>
        <v>8911.7467436358402</v>
      </c>
      <c r="L280" s="75">
        <f>EFEITO!$N$280*EFEITO!$AA$274</f>
        <v>1922.8684302758875</v>
      </c>
      <c r="M280" s="75">
        <f>$J$280-EFEITO!$K$280*EFEITO!$Y$280</f>
        <v>0</v>
      </c>
      <c r="N280" s="75">
        <f ca="1">$K$280-EFEITO!$M$280*EFEITO!$Z$280</f>
        <v>267.35240230907584</v>
      </c>
      <c r="O280" s="75">
        <f>$L$280-EFEITO!$O$280*EFEITO!$AA$280</f>
        <v>57.686052908276679</v>
      </c>
      <c r="P280" s="57"/>
      <c r="Q280" s="57"/>
      <c r="R280" s="57"/>
      <c r="S280" s="57"/>
      <c r="T280" s="57"/>
      <c r="U280" s="57"/>
      <c r="V280" s="57"/>
      <c r="W280" s="57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53" t="s">
        <v>21</v>
      </c>
      <c r="B281" s="53" t="s">
        <v>33</v>
      </c>
      <c r="C281" s="53" t="s">
        <v>23</v>
      </c>
      <c r="D281" s="53" t="s">
        <v>46</v>
      </c>
      <c r="E281" s="53" t="s">
        <v>47</v>
      </c>
      <c r="F281" s="53" t="s">
        <v>25</v>
      </c>
      <c r="G281" s="53" t="s">
        <v>25</v>
      </c>
      <c r="H281" s="53" t="s">
        <v>25</v>
      </c>
      <c r="I281" s="74">
        <v>44470</v>
      </c>
      <c r="J281" s="75">
        <f>EFEITO!$J$281*EFEITO!$Y$274</f>
        <v>0</v>
      </c>
      <c r="K281" s="75">
        <f ca="1">EFEITO!$L$281*EFEITO!$Z$274</f>
        <v>8375.9536092133931</v>
      </c>
      <c r="L281" s="75">
        <f>EFEITO!$N$281*EFEITO!$AA$274</f>
        <v>1807.2614978779006</v>
      </c>
      <c r="M281" s="75">
        <f>$J$281-EFEITO!$K$281*EFEITO!$Y$281</f>
        <v>0</v>
      </c>
      <c r="N281" s="75">
        <f ca="1">$K$281-EFEITO!$M$281*EFEITO!$Z$281</f>
        <v>251.27860827640143</v>
      </c>
      <c r="O281" s="75">
        <f>$L$281-EFEITO!$O$281*EFEITO!$AA$281</f>
        <v>54.21784493633686</v>
      </c>
      <c r="P281" s="57"/>
      <c r="Q281" s="57"/>
      <c r="R281" s="57"/>
      <c r="S281" s="57"/>
      <c r="T281" s="57"/>
      <c r="U281" s="57"/>
      <c r="V281" s="57"/>
      <c r="W281" s="57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53" t="s">
        <v>21</v>
      </c>
      <c r="B282" s="53" t="s">
        <v>33</v>
      </c>
      <c r="C282" s="53" t="s">
        <v>23</v>
      </c>
      <c r="D282" s="53" t="s">
        <v>46</v>
      </c>
      <c r="E282" s="53" t="s">
        <v>47</v>
      </c>
      <c r="F282" s="53" t="s">
        <v>25</v>
      </c>
      <c r="G282" s="53" t="s">
        <v>25</v>
      </c>
      <c r="H282" s="53" t="s">
        <v>25</v>
      </c>
      <c r="I282" s="74">
        <v>44501</v>
      </c>
      <c r="J282" s="75">
        <f>EFEITO!$J$282*EFEITO!$Y$274</f>
        <v>0</v>
      </c>
      <c r="K282" s="75">
        <f ca="1">EFEITO!$L$282*EFEITO!$Z$274</f>
        <v>7238.4396695313653</v>
      </c>
      <c r="L282" s="75">
        <f>EFEITO!$N$282*EFEITO!$AA$274</f>
        <v>1561.8225613220191</v>
      </c>
      <c r="M282" s="75">
        <f>$J$282-EFEITO!$K$282*EFEITO!$Y$282</f>
        <v>0</v>
      </c>
      <c r="N282" s="75">
        <f ca="1">$K$282-EFEITO!$M$282*EFEITO!$Z$282</f>
        <v>217.15319008594179</v>
      </c>
      <c r="O282" s="75">
        <f>$L$282-EFEITO!$O$282*EFEITO!$AA$282</f>
        <v>46.854676839660669</v>
      </c>
      <c r="P282" s="57"/>
      <c r="Q282" s="57"/>
      <c r="R282" s="57"/>
      <c r="S282" s="57"/>
      <c r="T282" s="57"/>
      <c r="U282" s="57"/>
      <c r="V282" s="57"/>
      <c r="W282" s="57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53" t="s">
        <v>21</v>
      </c>
      <c r="B283" s="53" t="s">
        <v>33</v>
      </c>
      <c r="C283" s="53" t="s">
        <v>23</v>
      </c>
      <c r="D283" s="53" t="s">
        <v>46</v>
      </c>
      <c r="E283" s="53" t="s">
        <v>47</v>
      </c>
      <c r="F283" s="53" t="s">
        <v>25</v>
      </c>
      <c r="G283" s="53" t="s">
        <v>25</v>
      </c>
      <c r="H283" s="53" t="s">
        <v>25</v>
      </c>
      <c r="I283" s="74">
        <v>44531</v>
      </c>
      <c r="J283" s="75">
        <f>EFEITO!$J$283*EFEITO!$Y$274</f>
        <v>0</v>
      </c>
      <c r="K283" s="75">
        <f ca="1">EFEITO!$L$283*EFEITO!$Z$274</f>
        <v>6605.3247353017177</v>
      </c>
      <c r="L283" s="75">
        <f>EFEITO!$N$283*EFEITO!$AA$274</f>
        <v>1425.2167134689294</v>
      </c>
      <c r="M283" s="75">
        <f>$J$283-EFEITO!$K$283*EFEITO!$Y$283</f>
        <v>0</v>
      </c>
      <c r="N283" s="75">
        <f ca="1">$K$283-EFEITO!$M$283*EFEITO!$Z$283</f>
        <v>198.15974205905241</v>
      </c>
      <c r="O283" s="75">
        <f>$L$283-EFEITO!$O$283*EFEITO!$AA$283</f>
        <v>42.756501404067876</v>
      </c>
      <c r="P283" s="57"/>
      <c r="Q283" s="57"/>
      <c r="R283" s="57"/>
      <c r="S283" s="57"/>
      <c r="T283" s="57"/>
      <c r="U283" s="57"/>
      <c r="V283" s="57"/>
      <c r="W283" s="57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53" t="s">
        <v>21</v>
      </c>
      <c r="B284" s="53" t="s">
        <v>33</v>
      </c>
      <c r="C284" s="53" t="s">
        <v>23</v>
      </c>
      <c r="D284" s="53" t="s">
        <v>46</v>
      </c>
      <c r="E284" s="53" t="s">
        <v>47</v>
      </c>
      <c r="F284" s="53" t="s">
        <v>25</v>
      </c>
      <c r="G284" s="53" t="s">
        <v>25</v>
      </c>
      <c r="H284" s="53" t="s">
        <v>25</v>
      </c>
      <c r="I284" s="74">
        <v>44562</v>
      </c>
      <c r="J284" s="75">
        <f>EFEITO!$J$284*EFEITO!$Y$274</f>
        <v>0</v>
      </c>
      <c r="K284" s="75">
        <f ca="1">EFEITO!$L$284*EFEITO!$Z$274</f>
        <v>7480.1744626008667</v>
      </c>
      <c r="L284" s="75">
        <f>EFEITO!$N$284*EFEITO!$AA$274</f>
        <v>1613.9811577750168</v>
      </c>
      <c r="M284" s="75">
        <f>$J$284-EFEITO!$K$284*EFEITO!$Y$284</f>
        <v>0</v>
      </c>
      <c r="N284" s="75">
        <f ca="1">$K$284-EFEITO!$M$284*EFEITO!$Z$284</f>
        <v>224.40523387802568</v>
      </c>
      <c r="O284" s="75">
        <f>$L$284-EFEITO!$O$284*EFEITO!$AA$284</f>
        <v>48.419434733250455</v>
      </c>
      <c r="P284" s="57"/>
      <c r="Q284" s="57"/>
      <c r="R284" s="57"/>
      <c r="S284" s="57"/>
      <c r="T284" s="57"/>
      <c r="U284" s="57"/>
      <c r="V284" s="57"/>
      <c r="W284" s="57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53" t="s">
        <v>21</v>
      </c>
      <c r="B285" s="53" t="s">
        <v>33</v>
      </c>
      <c r="C285" s="53" t="s">
        <v>23</v>
      </c>
      <c r="D285" s="53" t="s">
        <v>46</v>
      </c>
      <c r="E285" s="53" t="s">
        <v>47</v>
      </c>
      <c r="F285" s="53" t="s">
        <v>25</v>
      </c>
      <c r="G285" s="53" t="s">
        <v>25</v>
      </c>
      <c r="H285" s="53" t="s">
        <v>25</v>
      </c>
      <c r="I285" s="74">
        <v>44593</v>
      </c>
      <c r="J285" s="75">
        <f>EFEITO!$J$285*EFEITO!$Y$274</f>
        <v>0</v>
      </c>
      <c r="K285" s="75">
        <f ca="1">EFEITO!$L$285*EFEITO!$Z$274</f>
        <v>6568.6982515033078</v>
      </c>
      <c r="L285" s="75">
        <f>EFEITO!$N$285*EFEITO!$AA$274</f>
        <v>1417.3138958245356</v>
      </c>
      <c r="M285" s="75">
        <f>$J$285-EFEITO!$K$285*EFEITO!$Y$285</f>
        <v>0</v>
      </c>
      <c r="N285" s="75">
        <f ca="1">$K$285-EFEITO!$M$285*EFEITO!$Z$285</f>
        <v>197.06094754509922</v>
      </c>
      <c r="O285" s="75">
        <f>$L$285-EFEITO!$O$285*EFEITO!$AA$285</f>
        <v>42.519416874735953</v>
      </c>
      <c r="P285" s="57"/>
      <c r="Q285" s="57"/>
      <c r="R285" s="57"/>
      <c r="S285" s="57"/>
      <c r="T285" s="57"/>
      <c r="U285" s="57"/>
      <c r="V285" s="57"/>
      <c r="W285" s="57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53" t="s">
        <v>21</v>
      </c>
      <c r="B286" s="53" t="s">
        <v>33</v>
      </c>
      <c r="C286" s="53" t="s">
        <v>23</v>
      </c>
      <c r="D286" s="53" t="s">
        <v>46</v>
      </c>
      <c r="E286" s="53" t="s">
        <v>47</v>
      </c>
      <c r="F286" s="53" t="s">
        <v>25</v>
      </c>
      <c r="G286" s="53" t="s">
        <v>25</v>
      </c>
      <c r="H286" s="53" t="s">
        <v>25</v>
      </c>
      <c r="I286" s="74">
        <v>44621</v>
      </c>
      <c r="J286" s="75">
        <f>EFEITO!$J$286*EFEITO!$Y$274</f>
        <v>0</v>
      </c>
      <c r="K286" s="75">
        <f ca="1">EFEITO!$L$286*EFEITO!$Z$274</f>
        <v>6145.9239813730965</v>
      </c>
      <c r="L286" s="75">
        <f>EFEITO!$N$286*EFEITO!$AA$274</f>
        <v>1326.0928007292493</v>
      </c>
      <c r="M286" s="75">
        <f>$J$286-EFEITO!$K$286*EFEITO!$Y$286</f>
        <v>0</v>
      </c>
      <c r="N286" s="75">
        <f ca="1">$K$286-EFEITO!$M$286*EFEITO!$Z$286</f>
        <v>184.37771944119322</v>
      </c>
      <c r="O286" s="75">
        <f>$L$286-EFEITO!$O$286*EFEITO!$AA$286</f>
        <v>39.782784021877433</v>
      </c>
      <c r="P286" s="57"/>
      <c r="Q286" s="57"/>
      <c r="R286" s="57"/>
      <c r="S286" s="57"/>
      <c r="T286" s="57"/>
      <c r="U286" s="57"/>
      <c r="V286" s="57"/>
      <c r="W286" s="57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53" t="s">
        <v>21</v>
      </c>
      <c r="B287" s="53" t="s">
        <v>43</v>
      </c>
      <c r="C287" s="53" t="s">
        <v>23</v>
      </c>
      <c r="D287" s="53" t="s">
        <v>44</v>
      </c>
      <c r="E287" s="53" t="s">
        <v>45</v>
      </c>
      <c r="F287" s="53" t="s">
        <v>25</v>
      </c>
      <c r="G287" s="53" t="s">
        <v>25</v>
      </c>
      <c r="H287" s="53" t="s">
        <v>25</v>
      </c>
      <c r="I287" s="74">
        <v>44287</v>
      </c>
      <c r="J287" s="75">
        <f>EFEITO!$J$287*EFEITO!$Y$287</f>
        <v>0</v>
      </c>
      <c r="K287" s="75">
        <f ca="1">EFEITO!$L$287*EFEITO!$Z$287</f>
        <v>32893.418387288606</v>
      </c>
      <c r="L287" s="75">
        <f>EFEITO!$N$287*EFEITO!$AA$287</f>
        <v>7097.3421485459367</v>
      </c>
      <c r="M287" s="75">
        <f>$J$287-EFEITO!$K$287*EFEITO!$Y$287</f>
        <v>0</v>
      </c>
      <c r="N287" s="75">
        <f ca="1">$K$287-EFEITO!$M$287*EFEITO!$Z$287</f>
        <v>0</v>
      </c>
      <c r="O287" s="75">
        <f>$L$287-EFEITO!$O$287*EFEITO!$AA$287</f>
        <v>0</v>
      </c>
      <c r="P287" s="57"/>
      <c r="Q287" s="57"/>
      <c r="R287" s="57"/>
      <c r="S287" s="57"/>
      <c r="T287" s="57"/>
      <c r="U287" s="57"/>
      <c r="V287" s="57"/>
      <c r="W287" s="57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53" t="s">
        <v>21</v>
      </c>
      <c r="B288" s="53" t="s">
        <v>43</v>
      </c>
      <c r="C288" s="53" t="s">
        <v>23</v>
      </c>
      <c r="D288" s="53" t="s">
        <v>44</v>
      </c>
      <c r="E288" s="53" t="s">
        <v>45</v>
      </c>
      <c r="F288" s="53" t="s">
        <v>25</v>
      </c>
      <c r="G288" s="53" t="s">
        <v>25</v>
      </c>
      <c r="H288" s="53" t="s">
        <v>25</v>
      </c>
      <c r="I288" s="74">
        <v>44317</v>
      </c>
      <c r="J288" s="75">
        <f>EFEITO!$J$288*EFEITO!$Y$288</f>
        <v>0</v>
      </c>
      <c r="K288" s="75">
        <f ca="1">EFEITO!$L$288*EFEITO!$Z$288</f>
        <v>32308.284146834874</v>
      </c>
      <c r="L288" s="75">
        <f>EFEITO!$N$288*EFEITO!$AA$288</f>
        <v>6971.0889918070034</v>
      </c>
      <c r="M288" s="75">
        <f>$J$288-EFEITO!$K$288*EFEITO!$Y$288</f>
        <v>0</v>
      </c>
      <c r="N288" s="75">
        <f ca="1">$K$288-EFEITO!$M$288*EFEITO!$Z$288</f>
        <v>0</v>
      </c>
      <c r="O288" s="75">
        <f>$L$288-EFEITO!$O$288*EFEITO!$AA$288</f>
        <v>0</v>
      </c>
      <c r="P288" s="57"/>
      <c r="Q288" s="57"/>
      <c r="R288" s="57"/>
      <c r="S288" s="57"/>
      <c r="T288" s="57"/>
      <c r="U288" s="57"/>
      <c r="V288" s="57"/>
      <c r="W288" s="57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53" t="s">
        <v>21</v>
      </c>
      <c r="B289" s="53" t="s">
        <v>43</v>
      </c>
      <c r="C289" s="53" t="s">
        <v>23</v>
      </c>
      <c r="D289" s="53" t="s">
        <v>44</v>
      </c>
      <c r="E289" s="53" t="s">
        <v>45</v>
      </c>
      <c r="F289" s="53" t="s">
        <v>25</v>
      </c>
      <c r="G289" s="53" t="s">
        <v>25</v>
      </c>
      <c r="H289" s="53" t="s">
        <v>25</v>
      </c>
      <c r="I289" s="74">
        <v>44348</v>
      </c>
      <c r="J289" s="75">
        <f>EFEITO!$J$289*EFEITO!$Y$289</f>
        <v>0</v>
      </c>
      <c r="K289" s="75">
        <f ca="1">EFEITO!$L$289*EFEITO!$Z$289</f>
        <v>31575.06380002934</v>
      </c>
      <c r="L289" s="75">
        <f>EFEITO!$N$289*EFEITO!$AA$289</f>
        <v>6812.8836143578364</v>
      </c>
      <c r="M289" s="75">
        <f>$J$289-EFEITO!$K$289*EFEITO!$Y$289</f>
        <v>0</v>
      </c>
      <c r="N289" s="75">
        <f ca="1">$K$289-EFEITO!$M$289*EFEITO!$Z$289</f>
        <v>0</v>
      </c>
      <c r="O289" s="75">
        <f>$L$289-EFEITO!$O$289*EFEITO!$AA$289</f>
        <v>0</v>
      </c>
      <c r="P289" s="57"/>
      <c r="Q289" s="57"/>
      <c r="R289" s="57"/>
      <c r="S289" s="57"/>
      <c r="T289" s="57"/>
      <c r="U289" s="57"/>
      <c r="V289" s="57"/>
      <c r="W289" s="57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53" t="s">
        <v>21</v>
      </c>
      <c r="B290" s="53" t="s">
        <v>43</v>
      </c>
      <c r="C290" s="53" t="s">
        <v>23</v>
      </c>
      <c r="D290" s="53" t="s">
        <v>44</v>
      </c>
      <c r="E290" s="53" t="s">
        <v>45</v>
      </c>
      <c r="F290" s="53" t="s">
        <v>25</v>
      </c>
      <c r="G290" s="53" t="s">
        <v>25</v>
      </c>
      <c r="H290" s="53" t="s">
        <v>25</v>
      </c>
      <c r="I290" s="74">
        <v>44378</v>
      </c>
      <c r="J290" s="75">
        <f>EFEITO!$J$290*EFEITO!$Y$290</f>
        <v>0</v>
      </c>
      <c r="K290" s="75">
        <f ca="1">EFEITO!$L$290*EFEITO!$Z$290</f>
        <v>32323.259146353594</v>
      </c>
      <c r="L290" s="75">
        <f>EFEITO!$N$290*EFEITO!$AA$290</f>
        <v>6974.3201152496113</v>
      </c>
      <c r="M290" s="75">
        <f>$J$290-EFEITO!$K$290*EFEITO!$Y$290</f>
        <v>0</v>
      </c>
      <c r="N290" s="75">
        <f ca="1">$K$290-EFEITO!$M$290*EFEITO!$Z$290</f>
        <v>0</v>
      </c>
      <c r="O290" s="75">
        <f>$L$290-EFEITO!$O$290*EFEITO!$AA$290</f>
        <v>0</v>
      </c>
      <c r="P290" s="57"/>
      <c r="Q290" s="57"/>
      <c r="R290" s="57"/>
      <c r="S290" s="57"/>
      <c r="T290" s="57"/>
      <c r="U290" s="57"/>
      <c r="V290" s="57"/>
      <c r="W290" s="57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53" t="s">
        <v>21</v>
      </c>
      <c r="B291" s="53" t="s">
        <v>43</v>
      </c>
      <c r="C291" s="53" t="s">
        <v>23</v>
      </c>
      <c r="D291" s="53" t="s">
        <v>44</v>
      </c>
      <c r="E291" s="53" t="s">
        <v>45</v>
      </c>
      <c r="F291" s="53" t="s">
        <v>25</v>
      </c>
      <c r="G291" s="53" t="s">
        <v>25</v>
      </c>
      <c r="H291" s="53" t="s">
        <v>25</v>
      </c>
      <c r="I291" s="74">
        <v>44409</v>
      </c>
      <c r="J291" s="75">
        <f>EFEITO!$J$291*EFEITO!$Y$291</f>
        <v>0</v>
      </c>
      <c r="K291" s="75">
        <f ca="1">EFEITO!$L$291*EFEITO!$Z$291</f>
        <v>31176.285109141918</v>
      </c>
      <c r="L291" s="75">
        <f>EFEITO!$N$291*EFEITO!$AA$291</f>
        <v>6726.8399937935765</v>
      </c>
      <c r="M291" s="75">
        <f>$J$291-EFEITO!$K$291*EFEITO!$Y$291</f>
        <v>0</v>
      </c>
      <c r="N291" s="75">
        <f ca="1">$K$291-EFEITO!$M$291*EFEITO!$Z$291</f>
        <v>0</v>
      </c>
      <c r="O291" s="75">
        <f>$L$291-EFEITO!$O$291*EFEITO!$AA$291</f>
        <v>0</v>
      </c>
      <c r="P291" s="57"/>
      <c r="Q291" s="57"/>
      <c r="R291" s="57"/>
      <c r="S291" s="57"/>
      <c r="T291" s="57"/>
      <c r="U291" s="57"/>
      <c r="V291" s="57"/>
      <c r="W291" s="57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53" t="s">
        <v>21</v>
      </c>
      <c r="B292" s="53" t="s">
        <v>43</v>
      </c>
      <c r="C292" s="53" t="s">
        <v>23</v>
      </c>
      <c r="D292" s="53" t="s">
        <v>44</v>
      </c>
      <c r="E292" s="53" t="s">
        <v>45</v>
      </c>
      <c r="F292" s="53" t="s">
        <v>25</v>
      </c>
      <c r="G292" s="53" t="s">
        <v>25</v>
      </c>
      <c r="H292" s="53" t="s">
        <v>25</v>
      </c>
      <c r="I292" s="74">
        <v>44440</v>
      </c>
      <c r="J292" s="75">
        <f>EFEITO!$J$292*EFEITO!$Y$292</f>
        <v>0</v>
      </c>
      <c r="K292" s="75">
        <f ca="1">EFEITO!$L$292*EFEITO!$Z$292</f>
        <v>28608.904636098956</v>
      </c>
      <c r="L292" s="75">
        <f>EFEITO!$N$292*EFEITO!$AA$292</f>
        <v>6172.8818302442633</v>
      </c>
      <c r="M292" s="75">
        <f>$J$292-EFEITO!$K$292*EFEITO!$Y$292</f>
        <v>0</v>
      </c>
      <c r="N292" s="75">
        <f ca="1">$K$292-EFEITO!$M$292*EFEITO!$Z$292</f>
        <v>0</v>
      </c>
      <c r="O292" s="75">
        <f>$L$292-EFEITO!$O$292*EFEITO!$AA$292</f>
        <v>0</v>
      </c>
      <c r="P292" s="57"/>
      <c r="Q292" s="57"/>
      <c r="R292" s="57"/>
      <c r="S292" s="57"/>
      <c r="T292" s="57"/>
      <c r="U292" s="57"/>
      <c r="V292" s="57"/>
      <c r="W292" s="57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53" t="s">
        <v>21</v>
      </c>
      <c r="B293" s="53" t="s">
        <v>43</v>
      </c>
      <c r="C293" s="53" t="s">
        <v>23</v>
      </c>
      <c r="D293" s="53" t="s">
        <v>44</v>
      </c>
      <c r="E293" s="53" t="s">
        <v>45</v>
      </c>
      <c r="F293" s="53" t="s">
        <v>25</v>
      </c>
      <c r="G293" s="53" t="s">
        <v>25</v>
      </c>
      <c r="H293" s="53" t="s">
        <v>25</v>
      </c>
      <c r="I293" s="74">
        <v>44470</v>
      </c>
      <c r="J293" s="75">
        <f>EFEITO!$J$293*EFEITO!$Y$293</f>
        <v>0</v>
      </c>
      <c r="K293" s="75">
        <f ca="1">EFEITO!$L$293*EFEITO!$Z$293</f>
        <v>28462.482418582571</v>
      </c>
      <c r="L293" s="75">
        <f>EFEITO!$N$293*EFEITO!$AA$293</f>
        <v>6141.2886232498759</v>
      </c>
      <c r="M293" s="75">
        <f>$J$293-EFEITO!$K$293*EFEITO!$Y$293</f>
        <v>0</v>
      </c>
      <c r="N293" s="75">
        <f ca="1">$K$293-EFEITO!$M$293*EFEITO!$Z$293</f>
        <v>0</v>
      </c>
      <c r="O293" s="75">
        <f>$L$293-EFEITO!$O$293*EFEITO!$AA$293</f>
        <v>0</v>
      </c>
      <c r="P293" s="57"/>
      <c r="Q293" s="57"/>
      <c r="R293" s="57"/>
      <c r="S293" s="57"/>
      <c r="T293" s="57"/>
      <c r="U293" s="57"/>
      <c r="V293" s="57"/>
      <c r="W293" s="57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53" t="s">
        <v>21</v>
      </c>
      <c r="B294" s="53" t="s">
        <v>43</v>
      </c>
      <c r="C294" s="53" t="s">
        <v>23</v>
      </c>
      <c r="D294" s="53" t="s">
        <v>44</v>
      </c>
      <c r="E294" s="53" t="s">
        <v>45</v>
      </c>
      <c r="F294" s="53" t="s">
        <v>25</v>
      </c>
      <c r="G294" s="53" t="s">
        <v>25</v>
      </c>
      <c r="H294" s="53" t="s">
        <v>25</v>
      </c>
      <c r="I294" s="74">
        <v>44501</v>
      </c>
      <c r="J294" s="75">
        <f>EFEITO!$J$294*EFEITO!$Y$294</f>
        <v>0</v>
      </c>
      <c r="K294" s="75">
        <f ca="1">EFEITO!$L$294*EFEITO!$Z$294</f>
        <v>28991.59906824405</v>
      </c>
      <c r="L294" s="75">
        <f>EFEITO!$N$294*EFEITO!$AA$294</f>
        <v>6255.4549848886845</v>
      </c>
      <c r="M294" s="75">
        <f>$J$294-EFEITO!$K$294*EFEITO!$Y$294</f>
        <v>0</v>
      </c>
      <c r="N294" s="75">
        <f ca="1">$K$294-EFEITO!$M$294*EFEITO!$Z$294</f>
        <v>0</v>
      </c>
      <c r="O294" s="75">
        <f>$L$294-EFEITO!$O$294*EFEITO!$AA$294</f>
        <v>0</v>
      </c>
      <c r="P294" s="57"/>
      <c r="Q294" s="57"/>
      <c r="R294" s="57"/>
      <c r="S294" s="57"/>
      <c r="T294" s="57"/>
      <c r="U294" s="57"/>
      <c r="V294" s="57"/>
      <c r="W294" s="57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53" t="s">
        <v>21</v>
      </c>
      <c r="B295" s="53" t="s">
        <v>43</v>
      </c>
      <c r="C295" s="53" t="s">
        <v>23</v>
      </c>
      <c r="D295" s="53" t="s">
        <v>44</v>
      </c>
      <c r="E295" s="53" t="s">
        <v>45</v>
      </c>
      <c r="F295" s="53" t="s">
        <v>25</v>
      </c>
      <c r="G295" s="53" t="s">
        <v>25</v>
      </c>
      <c r="H295" s="53" t="s">
        <v>25</v>
      </c>
      <c r="I295" s="74">
        <v>44531</v>
      </c>
      <c r="J295" s="75">
        <f>EFEITO!$J$295*EFEITO!$Y$295</f>
        <v>0</v>
      </c>
      <c r="K295" s="75">
        <f ca="1">EFEITO!$L$295*EFEITO!$Z$295</f>
        <v>32654.373024600867</v>
      </c>
      <c r="L295" s="75">
        <f>EFEITO!$N$295*EFEITO!$AA$295</f>
        <v>7045.7638447028266</v>
      </c>
      <c r="M295" s="75">
        <f>$J$295-EFEITO!$K$295*EFEITO!$Y$295</f>
        <v>0</v>
      </c>
      <c r="N295" s="75">
        <f ca="1">$K$295-EFEITO!$M$295*EFEITO!$Z$295</f>
        <v>0</v>
      </c>
      <c r="O295" s="75">
        <f>$L$295-EFEITO!$O$295*EFEITO!$AA$295</f>
        <v>0</v>
      </c>
      <c r="P295" s="57"/>
      <c r="Q295" s="57"/>
      <c r="R295" s="57"/>
      <c r="S295" s="57"/>
      <c r="T295" s="57"/>
      <c r="U295" s="57"/>
      <c r="V295" s="57"/>
      <c r="W295" s="57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53" t="s">
        <v>21</v>
      </c>
      <c r="B296" s="53" t="s">
        <v>43</v>
      </c>
      <c r="C296" s="53" t="s">
        <v>23</v>
      </c>
      <c r="D296" s="53" t="s">
        <v>44</v>
      </c>
      <c r="E296" s="53" t="s">
        <v>45</v>
      </c>
      <c r="F296" s="53" t="s">
        <v>25</v>
      </c>
      <c r="G296" s="53" t="s">
        <v>25</v>
      </c>
      <c r="H296" s="53" t="s">
        <v>25</v>
      </c>
      <c r="I296" s="74">
        <v>44562</v>
      </c>
      <c r="J296" s="75">
        <f>EFEITO!$J$296*EFEITO!$Y$296</f>
        <v>0</v>
      </c>
      <c r="K296" s="75">
        <f ca="1">EFEITO!$L$296*EFEITO!$Z$296</f>
        <v>29778.06385778281</v>
      </c>
      <c r="L296" s="75">
        <f>EFEITO!$N$296*EFEITO!$AA$296</f>
        <v>6425.1488012449008</v>
      </c>
      <c r="M296" s="75">
        <f>$J$296-EFEITO!$K$296*EFEITO!$Y$296</f>
        <v>0</v>
      </c>
      <c r="N296" s="75">
        <f ca="1">$K$296-EFEITO!$M$296*EFEITO!$Z$296</f>
        <v>0</v>
      </c>
      <c r="O296" s="75">
        <f>$L$296-EFEITO!$O$296*EFEITO!$AA$296</f>
        <v>0</v>
      </c>
      <c r="P296" s="57"/>
      <c r="Q296" s="57"/>
      <c r="R296" s="57"/>
      <c r="S296" s="57"/>
      <c r="T296" s="57"/>
      <c r="U296" s="57"/>
      <c r="V296" s="57"/>
      <c r="W296" s="57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53" t="s">
        <v>21</v>
      </c>
      <c r="B297" s="53" t="s">
        <v>43</v>
      </c>
      <c r="C297" s="53" t="s">
        <v>23</v>
      </c>
      <c r="D297" s="53" t="s">
        <v>44</v>
      </c>
      <c r="E297" s="53" t="s">
        <v>45</v>
      </c>
      <c r="F297" s="53" t="s">
        <v>25</v>
      </c>
      <c r="G297" s="53" t="s">
        <v>25</v>
      </c>
      <c r="H297" s="53" t="s">
        <v>25</v>
      </c>
      <c r="I297" s="74">
        <v>44593</v>
      </c>
      <c r="J297" s="75">
        <f>EFEITO!$J$297*EFEITO!$Y$297</f>
        <v>0</v>
      </c>
      <c r="K297" s="75">
        <f ca="1">EFEITO!$L$297*EFEITO!$Z$297</f>
        <v>28014.341692244547</v>
      </c>
      <c r="L297" s="75">
        <f>EFEITO!$N$297*EFEITO!$AA$297</f>
        <v>6044.5942624488716</v>
      </c>
      <c r="M297" s="75">
        <f>$J$297-EFEITO!$K$297*EFEITO!$Y$297</f>
        <v>0</v>
      </c>
      <c r="N297" s="75">
        <f ca="1">$K$297-EFEITO!$M$297*EFEITO!$Z$297</f>
        <v>0</v>
      </c>
      <c r="O297" s="75">
        <f>$L$297-EFEITO!$O$297*EFEITO!$AA$297</f>
        <v>0</v>
      </c>
      <c r="P297" s="57"/>
      <c r="Q297" s="57"/>
      <c r="R297" s="57"/>
      <c r="S297" s="57"/>
      <c r="T297" s="57"/>
      <c r="U297" s="57"/>
      <c r="V297" s="57"/>
      <c r="W297" s="57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53" t="s">
        <v>21</v>
      </c>
      <c r="B298" s="53" t="s">
        <v>43</v>
      </c>
      <c r="C298" s="53" t="s">
        <v>23</v>
      </c>
      <c r="D298" s="53" t="s">
        <v>44</v>
      </c>
      <c r="E298" s="53" t="s">
        <v>45</v>
      </c>
      <c r="F298" s="53" t="s">
        <v>25</v>
      </c>
      <c r="G298" s="53" t="s">
        <v>25</v>
      </c>
      <c r="H298" s="53" t="s">
        <v>25</v>
      </c>
      <c r="I298" s="74">
        <v>44621</v>
      </c>
      <c r="J298" s="75">
        <f>EFEITO!$J$298*EFEITO!$Y$298</f>
        <v>0</v>
      </c>
      <c r="K298" s="75">
        <f ca="1">EFEITO!$L$298*EFEITO!$Z$298</f>
        <v>32542.337843016365</v>
      </c>
      <c r="L298" s="75">
        <f>EFEITO!$N$298*EFEITO!$AA$298</f>
        <v>7021.5902545025765</v>
      </c>
      <c r="M298" s="75">
        <f>$J$298-EFEITO!$K$298*EFEITO!$Y$298</f>
        <v>0</v>
      </c>
      <c r="N298" s="75">
        <f ca="1">$K$298-EFEITO!$M$298*EFEITO!$Z$298</f>
        <v>0</v>
      </c>
      <c r="O298" s="75">
        <f>$L$298-EFEITO!$O$298*EFEITO!$AA$298</f>
        <v>0</v>
      </c>
      <c r="P298" s="57"/>
      <c r="Q298" s="57"/>
      <c r="R298" s="57"/>
      <c r="S298" s="57"/>
      <c r="T298" s="57"/>
      <c r="U298" s="57"/>
      <c r="V298" s="57"/>
      <c r="W298" s="57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9DFE-5D11-4F91-85F5-8C814B48586E}">
  <dimension ref="A1:BD103"/>
  <sheetViews>
    <sheetView showGridLines="0" topLeftCell="C38" workbookViewId="0">
      <selection activeCell="L53" sqref="L53:BD103"/>
    </sheetView>
  </sheetViews>
  <sheetFormatPr defaultColWidth="9.109375" defaultRowHeight="11.25" customHeight="1" x14ac:dyDescent="0.3"/>
  <cols>
    <col min="1" max="1" width="9.33203125" style="9" bestFit="1" customWidth="1"/>
    <col min="2" max="2" width="23.44140625" style="9" bestFit="1" customWidth="1"/>
    <col min="3" max="3" width="33" style="9" bestFit="1" customWidth="1"/>
    <col min="4" max="4" width="56.109375" style="9" bestFit="1" customWidth="1"/>
    <col min="5" max="5" width="65.6640625" style="9" bestFit="1" customWidth="1"/>
    <col min="6" max="6" width="75.44140625" style="9" bestFit="1" customWidth="1"/>
    <col min="7" max="7" width="7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9" width="8.6640625" style="9" bestFit="1" customWidth="1"/>
    <col min="20" max="20" width="7.44140625" style="9" bestFit="1" customWidth="1"/>
    <col min="21" max="21" width="7.33203125" style="9" bestFit="1" customWidth="1"/>
    <col min="22" max="23" width="9.88671875" style="9" bestFit="1" customWidth="1"/>
    <col min="24" max="24" width="10" style="9" bestFit="1" customWidth="1"/>
    <col min="25" max="25" width="7.6640625" style="9" bestFit="1" customWidth="1"/>
    <col min="26" max="26" width="9.88671875" style="9" bestFit="1" customWidth="1"/>
    <col min="27" max="27" width="11.6640625" style="9" bestFit="1" customWidth="1"/>
    <col min="28" max="28" width="8" style="9" bestFit="1" customWidth="1"/>
    <col min="29" max="29" width="7.33203125" style="9" bestFit="1" customWidth="1"/>
    <col min="30" max="30" width="15.33203125" style="9" bestFit="1" customWidth="1"/>
    <col min="31" max="31" width="18" style="9" bestFit="1" customWidth="1"/>
    <col min="32" max="32" width="19.109375" style="9" bestFit="1" customWidth="1"/>
    <col min="33" max="33" width="4" style="9" bestFit="1" customWidth="1"/>
    <col min="34" max="34" width="9.109375" style="9"/>
    <col min="35" max="35" width="13.44140625" style="9" bestFit="1" customWidth="1"/>
    <col min="36" max="36" width="7.88671875" style="9" bestFit="1" customWidth="1"/>
    <col min="37" max="38" width="4.109375" style="9" bestFit="1" customWidth="1"/>
    <col min="39" max="39" width="4.44140625" style="9" bestFit="1" customWidth="1"/>
    <col min="40" max="42" width="8.6640625" style="9" bestFit="1" customWidth="1"/>
    <col min="43" max="43" width="7.44140625" style="9" bestFit="1" customWidth="1"/>
    <col min="44" max="44" width="7.33203125" style="9" bestFit="1" customWidth="1"/>
    <col min="45" max="46" width="9.88671875" style="9" bestFit="1" customWidth="1"/>
    <col min="47" max="47" width="10" style="9" bestFit="1" customWidth="1"/>
    <col min="48" max="48" width="7.6640625" style="9" bestFit="1" customWidth="1"/>
    <col min="49" max="49" width="9.88671875" style="9" bestFit="1" customWidth="1"/>
    <col min="50" max="50" width="11.6640625" style="9" bestFit="1" customWidth="1"/>
    <col min="51" max="51" width="8" style="9" bestFit="1" customWidth="1"/>
    <col min="52" max="52" width="7.33203125" style="9" bestFit="1" customWidth="1"/>
    <col min="53" max="53" width="15.33203125" style="9" bestFit="1" customWidth="1"/>
    <col min="54" max="54" width="18" style="9" bestFit="1" customWidth="1"/>
    <col min="55" max="55" width="19.109375" style="9" bestFit="1" customWidth="1"/>
    <col min="56" max="56" width="4" style="9" bestFit="1" customWidth="1"/>
    <col min="57" max="16384" width="9.109375" style="9"/>
  </cols>
  <sheetData>
    <row r="1" spans="1:56" ht="11.25" customHeight="1" x14ac:dyDescent="0.3">
      <c r="A1" s="121" t="s">
        <v>57</v>
      </c>
      <c r="B1" s="121" t="s">
        <v>58</v>
      </c>
      <c r="C1" s="121" t="s">
        <v>59</v>
      </c>
      <c r="D1" s="121" t="s">
        <v>60</v>
      </c>
      <c r="E1" s="121" t="s">
        <v>61</v>
      </c>
      <c r="F1" s="121" t="s">
        <v>15</v>
      </c>
      <c r="G1" s="121" t="s">
        <v>63</v>
      </c>
      <c r="H1" s="121" t="s">
        <v>64</v>
      </c>
      <c r="I1" s="121" t="s">
        <v>447</v>
      </c>
      <c r="J1" s="115"/>
      <c r="L1" s="122" t="s">
        <v>649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I1" s="122" t="s">
        <v>650</v>
      </c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</row>
    <row r="2" spans="1:56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5"/>
      <c r="L2" s="122" t="s">
        <v>347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I2" s="122" t="s">
        <v>347</v>
      </c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</row>
    <row r="3" spans="1:56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5"/>
      <c r="L3" s="122" t="s">
        <v>348</v>
      </c>
      <c r="M3" s="122"/>
      <c r="N3" s="122"/>
      <c r="O3" s="122"/>
      <c r="P3" s="122"/>
      <c r="Q3" s="122"/>
      <c r="R3" s="122"/>
      <c r="S3" s="122"/>
      <c r="T3" s="122" t="s">
        <v>357</v>
      </c>
      <c r="U3" s="122"/>
      <c r="V3" s="122"/>
      <c r="W3" s="122"/>
      <c r="X3" s="122"/>
      <c r="Y3" s="122"/>
      <c r="Z3" s="122"/>
      <c r="AA3" s="79" t="s">
        <v>365</v>
      </c>
      <c r="AB3" s="122" t="s">
        <v>367</v>
      </c>
      <c r="AC3" s="122"/>
      <c r="AD3" s="122" t="s">
        <v>370</v>
      </c>
      <c r="AE3" s="122"/>
      <c r="AF3" s="122"/>
      <c r="AG3" s="122"/>
      <c r="AI3" s="122" t="s">
        <v>348</v>
      </c>
      <c r="AJ3" s="122"/>
      <c r="AK3" s="122"/>
      <c r="AL3" s="122"/>
      <c r="AM3" s="122"/>
      <c r="AN3" s="122"/>
      <c r="AO3" s="122"/>
      <c r="AP3" s="122"/>
      <c r="AQ3" s="122" t="s">
        <v>357</v>
      </c>
      <c r="AR3" s="122"/>
      <c r="AS3" s="122"/>
      <c r="AT3" s="122"/>
      <c r="AU3" s="122"/>
      <c r="AV3" s="122"/>
      <c r="AW3" s="122"/>
      <c r="AX3" s="79" t="s">
        <v>365</v>
      </c>
      <c r="AY3" s="122" t="s">
        <v>367</v>
      </c>
      <c r="AZ3" s="122"/>
      <c r="BA3" s="122" t="s">
        <v>370</v>
      </c>
      <c r="BB3" s="122"/>
      <c r="BC3" s="122"/>
      <c r="BD3" s="122"/>
    </row>
    <row r="4" spans="1:56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5"/>
      <c r="L4" s="79" t="s">
        <v>432</v>
      </c>
      <c r="M4" s="79" t="s">
        <v>349</v>
      </c>
      <c r="N4" s="79" t="s">
        <v>350</v>
      </c>
      <c r="O4" s="79" t="s">
        <v>351</v>
      </c>
      <c r="P4" s="79" t="s">
        <v>352</v>
      </c>
      <c r="Q4" s="79" t="s">
        <v>353</v>
      </c>
      <c r="R4" s="79" t="s">
        <v>354</v>
      </c>
      <c r="S4" s="79" t="s">
        <v>355</v>
      </c>
      <c r="T4" s="79" t="s">
        <v>358</v>
      </c>
      <c r="U4" s="79" t="s">
        <v>359</v>
      </c>
      <c r="V4" s="79" t="s">
        <v>360</v>
      </c>
      <c r="W4" s="79" t="s">
        <v>361</v>
      </c>
      <c r="X4" s="79" t="s">
        <v>362</v>
      </c>
      <c r="Y4" s="79" t="s">
        <v>363</v>
      </c>
      <c r="Z4" s="79" t="s">
        <v>364</v>
      </c>
      <c r="AA4" s="79" t="s">
        <v>366</v>
      </c>
      <c r="AB4" s="79" t="s">
        <v>368</v>
      </c>
      <c r="AC4" s="79" t="s">
        <v>369</v>
      </c>
      <c r="AD4" s="79" t="s">
        <v>371</v>
      </c>
      <c r="AE4" s="79" t="s">
        <v>372</v>
      </c>
      <c r="AF4" s="79" t="s">
        <v>373</v>
      </c>
      <c r="AG4" s="79" t="s">
        <v>374</v>
      </c>
      <c r="AI4" s="79" t="s">
        <v>432</v>
      </c>
      <c r="AJ4" s="79" t="s">
        <v>349</v>
      </c>
      <c r="AK4" s="79" t="s">
        <v>350</v>
      </c>
      <c r="AL4" s="79" t="s">
        <v>351</v>
      </c>
      <c r="AM4" s="79" t="s">
        <v>352</v>
      </c>
      <c r="AN4" s="79" t="s">
        <v>353</v>
      </c>
      <c r="AO4" s="79" t="s">
        <v>354</v>
      </c>
      <c r="AP4" s="79" t="s">
        <v>355</v>
      </c>
      <c r="AQ4" s="79" t="s">
        <v>358</v>
      </c>
      <c r="AR4" s="79" t="s">
        <v>359</v>
      </c>
      <c r="AS4" s="79" t="s">
        <v>360</v>
      </c>
      <c r="AT4" s="79" t="s">
        <v>361</v>
      </c>
      <c r="AU4" s="79" t="s">
        <v>362</v>
      </c>
      <c r="AV4" s="79" t="s">
        <v>363</v>
      </c>
      <c r="AW4" s="79" t="s">
        <v>364</v>
      </c>
      <c r="AX4" s="79" t="s">
        <v>366</v>
      </c>
      <c r="AY4" s="79" t="s">
        <v>368</v>
      </c>
      <c r="AZ4" s="79" t="s">
        <v>369</v>
      </c>
      <c r="BA4" s="79" t="s">
        <v>371</v>
      </c>
      <c r="BB4" s="79" t="s">
        <v>372</v>
      </c>
      <c r="BC4" s="79" t="s">
        <v>373</v>
      </c>
      <c r="BD4" s="79" t="s">
        <v>374</v>
      </c>
    </row>
    <row r="5" spans="1:56" ht="11.25" customHeight="1" x14ac:dyDescent="0.3">
      <c r="A5" s="125" t="s">
        <v>36</v>
      </c>
      <c r="B5" s="125" t="s">
        <v>70</v>
      </c>
      <c r="C5" s="125" t="s">
        <v>25</v>
      </c>
      <c r="D5" s="125" t="s">
        <v>25</v>
      </c>
      <c r="E5" s="125" t="s">
        <v>25</v>
      </c>
      <c r="F5" s="125" t="s">
        <v>25</v>
      </c>
      <c r="G5" s="21" t="s">
        <v>72</v>
      </c>
      <c r="H5" s="21" t="s">
        <v>71</v>
      </c>
      <c r="I5" s="21">
        <f>'MERCADO TUSD'!$U$2</f>
        <v>0</v>
      </c>
      <c r="J5" s="17"/>
      <c r="L5" s="78">
        <f>('TUSD BE'!$L$5+'TUSD BF'!$L$5+'TUSD CVA'!$L$5)*1</f>
        <v>0</v>
      </c>
      <c r="M5" s="78">
        <f>('TUSD BE'!$M$5+'TUSD BF'!$M$5+'TUSD CVA'!$M$5)*1</f>
        <v>0</v>
      </c>
      <c r="N5" s="78">
        <f ca="1">('TUSD BE'!$N$5+'TUSD BF'!$N$5+'TUSD CVA'!$N$5)*1</f>
        <v>0</v>
      </c>
      <c r="O5" s="78">
        <f>('TUSD BE'!$O$5+'TUSD BF'!$O$5+'TUSD CVA'!$O$5)*1</f>
        <v>0</v>
      </c>
      <c r="P5" s="78">
        <f>('TUSD BE'!$P$5+'TUSD BF'!$P$5+'TUSD CVA'!$P$5)*1</f>
        <v>0</v>
      </c>
      <c r="Q5" s="78">
        <f>('TUSD BE'!$Q$5+'TUSD BF'!$Q$5+'TUSD CVA'!$Q$5)*1</f>
        <v>0</v>
      </c>
      <c r="R5" s="78">
        <f>('TUSD BE'!$R$5+'TUSD BF'!$R$5+'TUSD CVA'!$R$5)*1</f>
        <v>0</v>
      </c>
      <c r="S5" s="78">
        <f>('TUSD BE'!$S$5+'TUSD BF'!$S$5+'TUSD CVA'!$S$5)*1</f>
        <v>0</v>
      </c>
      <c r="T5" s="78">
        <f>('TUSD BE'!$U$5+'TUSD BF'!$U$5+'TUSD CVA'!$U$5)*1</f>
        <v>0</v>
      </c>
      <c r="U5" s="78">
        <f>('TUSD BE'!$V$5+'TUSD BF'!$V$5+'TUSD CVA'!$V$5)*1</f>
        <v>0</v>
      </c>
      <c r="V5" s="78">
        <f>('TUSD BE'!$W$5+'TUSD BF'!$W$5+'TUSD CVA'!$W$5)*1</f>
        <v>0</v>
      </c>
      <c r="W5" s="78">
        <f>('TUSD BE'!$X$5+'TUSD BF'!$X$5+'TUSD CVA'!$X$5)*1</f>
        <v>0</v>
      </c>
      <c r="X5" s="78">
        <f>('TUSD BE'!$Y$5+'TUSD BF'!$Y$5+'TUSD CVA'!$Y$5)*1</f>
        <v>88.437389788594317</v>
      </c>
      <c r="Y5" s="78">
        <f>('TUSD BE'!$Z$5+'TUSD BF'!$Z$5+'TUSD CVA'!$Z$5)*1</f>
        <v>0</v>
      </c>
      <c r="Z5" s="78">
        <f>('TUSD BE'!$AA$5+'TUSD BF'!$AA$5+'TUSD CVA'!$AA$5)*1</f>
        <v>0</v>
      </c>
      <c r="AA5" s="78">
        <f>('TUSD BE'!$AC$5+'TUSD BF'!$AC$5+'TUSD CVA'!$AC$5)*1</f>
        <v>107.70125219680202</v>
      </c>
      <c r="AB5" s="78">
        <f ca="1">('TUSD BE'!$AE$5+'TUSD BF'!$AE$5+'TUSD CVA'!$AE$5)*1</f>
        <v>0</v>
      </c>
      <c r="AC5" s="78">
        <f ca="1">('TUSD BE'!$AF$5+'TUSD BF'!$AF$5+'TUSD CVA'!$AF$5)*1</f>
        <v>0</v>
      </c>
      <c r="AD5" s="78">
        <f>('TUSD BE'!$AH$5+'TUSD BF'!$AH$5+'TUSD CVA'!$AH$5)*1</f>
        <v>0</v>
      </c>
      <c r="AE5" s="78">
        <f>('TUSD BE'!$AI$5+'TUSD BF'!$AI$5+'TUSD CVA'!$AI$5)*1</f>
        <v>0</v>
      </c>
      <c r="AF5" s="78">
        <f ca="1">('TUSD BE'!$AJ$5+'TUSD BF'!$AJ$5+'TUSD CVA'!$AJ$5)*1</f>
        <v>0</v>
      </c>
      <c r="AG5" s="78">
        <f ca="1">('TUSD BE'!$AK$5+'TUSD BF'!$AK$5+'TUSD CVA'!$AK$5)*1</f>
        <v>0</v>
      </c>
      <c r="AI5" s="78">
        <v>0</v>
      </c>
      <c r="AJ5" s="78">
        <v>0</v>
      </c>
      <c r="AK5" s="78">
        <v>0</v>
      </c>
      <c r="AL5" s="78">
        <v>0</v>
      </c>
      <c r="AM5" s="78">
        <v>0</v>
      </c>
      <c r="AN5" s="78">
        <v>0</v>
      </c>
      <c r="AO5" s="78">
        <v>0</v>
      </c>
      <c r="AP5" s="78">
        <v>0</v>
      </c>
      <c r="AQ5" s="78">
        <v>0</v>
      </c>
      <c r="AR5" s="78">
        <v>0</v>
      </c>
      <c r="AS5" s="78">
        <v>0</v>
      </c>
      <c r="AT5" s="78">
        <v>0</v>
      </c>
      <c r="AU5" s="78">
        <v>46.978575122022299</v>
      </c>
      <c r="AV5" s="78">
        <v>0</v>
      </c>
      <c r="AW5" s="78">
        <v>0</v>
      </c>
      <c r="AX5" s="78">
        <v>99.189054541693807</v>
      </c>
      <c r="AY5" s="78">
        <v>3.0247620992196098</v>
      </c>
      <c r="AZ5" s="78">
        <v>0</v>
      </c>
      <c r="BA5" s="78">
        <v>0</v>
      </c>
      <c r="BB5" s="78">
        <v>0</v>
      </c>
      <c r="BC5" s="78">
        <v>0</v>
      </c>
      <c r="BD5" s="78">
        <v>0</v>
      </c>
    </row>
    <row r="6" spans="1:56" ht="11.25" customHeight="1" x14ac:dyDescent="0.3">
      <c r="A6" s="125"/>
      <c r="B6" s="125"/>
      <c r="C6" s="125"/>
      <c r="D6" s="125"/>
      <c r="E6" s="125"/>
      <c r="F6" s="125"/>
      <c r="G6" s="21" t="s">
        <v>73</v>
      </c>
      <c r="H6" s="21" t="s">
        <v>71</v>
      </c>
      <c r="I6" s="21">
        <f>'MERCADO TUSD'!$U$3</f>
        <v>0</v>
      </c>
      <c r="J6" s="17"/>
      <c r="L6" s="78">
        <f>('TUSD BE'!$L$6+'TUSD BF'!$L$6+'TUSD CVA'!$L$6)*1</f>
        <v>0</v>
      </c>
      <c r="M6" s="78">
        <f>('TUSD BE'!$M$6+'TUSD BF'!$M$6+'TUSD CVA'!$M$6)*1</f>
        <v>0</v>
      </c>
      <c r="N6" s="78">
        <f ca="1">('TUSD BE'!$N$6+'TUSD BF'!$N$6+'TUSD CVA'!$N$6)*1</f>
        <v>0</v>
      </c>
      <c r="O6" s="78">
        <f>('TUSD BE'!$O$6+'TUSD BF'!$O$6+'TUSD CVA'!$O$6)*1</f>
        <v>0</v>
      </c>
      <c r="P6" s="78">
        <f>('TUSD BE'!$P$6+'TUSD BF'!$P$6+'TUSD CVA'!$P$6)*1</f>
        <v>0</v>
      </c>
      <c r="Q6" s="78">
        <f>('TUSD BE'!$Q$6+'TUSD BF'!$Q$6+'TUSD CVA'!$Q$6)*1</f>
        <v>0</v>
      </c>
      <c r="R6" s="78">
        <f>('TUSD BE'!$R$6+'TUSD BF'!$R$6+'TUSD CVA'!$R$6)*1</f>
        <v>0</v>
      </c>
      <c r="S6" s="78">
        <f>('TUSD BE'!$S$6+'TUSD BF'!$S$6+'TUSD CVA'!$S$6)*1</f>
        <v>0</v>
      </c>
      <c r="T6" s="78">
        <f>('TUSD BE'!$U$6+'TUSD BF'!$U$6+'TUSD CVA'!$U$6)*1</f>
        <v>0</v>
      </c>
      <c r="U6" s="78">
        <f>('TUSD BE'!$V$6+'TUSD BF'!$V$6+'TUSD CVA'!$V$6)*1</f>
        <v>0</v>
      </c>
      <c r="V6" s="78">
        <f>('TUSD BE'!$W$6+'TUSD BF'!$W$6+'TUSD CVA'!$W$6)*1</f>
        <v>0</v>
      </c>
      <c r="W6" s="78">
        <f>('TUSD BE'!$X$6+'TUSD BF'!$X$6+'TUSD CVA'!$X$6)*1</f>
        <v>0</v>
      </c>
      <c r="X6" s="78">
        <f>('TUSD BE'!$Y$6+'TUSD BF'!$Y$6+'TUSD CVA'!$Y$6)*1</f>
        <v>29.273559103570179</v>
      </c>
      <c r="Y6" s="78">
        <f>('TUSD BE'!$Z$6+'TUSD BF'!$Z$6+'TUSD CVA'!$Z$6)*1</f>
        <v>0</v>
      </c>
      <c r="Z6" s="78">
        <f>('TUSD BE'!$AA$6+'TUSD BF'!$AA$6+'TUSD CVA'!$AA$6)*1</f>
        <v>0</v>
      </c>
      <c r="AA6" s="78">
        <f>('TUSD BE'!$AC$6+'TUSD BF'!$AC$6+'TUSD CVA'!$AC$6)*1</f>
        <v>39.582745071444741</v>
      </c>
      <c r="AB6" s="78">
        <f ca="1">('TUSD BE'!$AE$6+'TUSD BF'!$AE$6+'TUSD CVA'!$AE$6)*1</f>
        <v>0</v>
      </c>
      <c r="AC6" s="78">
        <f ca="1">('TUSD BE'!$AF$6+'TUSD BF'!$AF$6+'TUSD CVA'!$AF$6)*1</f>
        <v>0</v>
      </c>
      <c r="AD6" s="78">
        <f>('TUSD BE'!$AH$6+'TUSD BF'!$AH$6+'TUSD CVA'!$AH$6)*1</f>
        <v>0</v>
      </c>
      <c r="AE6" s="78">
        <f>('TUSD BE'!$AI$6+'TUSD BF'!$AI$6+'TUSD CVA'!$AI$6)*1</f>
        <v>0</v>
      </c>
      <c r="AF6" s="78">
        <f ca="1">('TUSD BE'!$AJ$6+'TUSD BF'!$AJ$6+'TUSD CVA'!$AJ$6)*1</f>
        <v>0</v>
      </c>
      <c r="AG6" s="78">
        <f ca="1">('TUSD BE'!$AK$6+'TUSD BF'!$AK$6+'TUSD CVA'!$AK$6)*1</f>
        <v>0</v>
      </c>
      <c r="AI6" s="78">
        <v>0</v>
      </c>
      <c r="AJ6" s="78">
        <v>0</v>
      </c>
      <c r="AK6" s="78">
        <v>0</v>
      </c>
      <c r="AL6" s="78">
        <v>0</v>
      </c>
      <c r="AM6" s="78">
        <v>0</v>
      </c>
      <c r="AN6" s="78">
        <v>0</v>
      </c>
      <c r="AO6" s="78">
        <v>0</v>
      </c>
      <c r="AP6" s="78">
        <v>0</v>
      </c>
      <c r="AQ6" s="78">
        <v>0</v>
      </c>
      <c r="AR6" s="78">
        <v>0</v>
      </c>
      <c r="AS6" s="78">
        <v>0</v>
      </c>
      <c r="AT6" s="78">
        <v>0</v>
      </c>
      <c r="AU6" s="78">
        <v>15.5503335398638</v>
      </c>
      <c r="AV6" s="78">
        <v>0</v>
      </c>
      <c r="AW6" s="78">
        <v>0</v>
      </c>
      <c r="AX6" s="78">
        <v>36.454339989860898</v>
      </c>
      <c r="AY6" s="78">
        <v>1.0711628674650699</v>
      </c>
      <c r="AZ6" s="78">
        <v>0</v>
      </c>
      <c r="BA6" s="78">
        <v>0</v>
      </c>
      <c r="BB6" s="78">
        <v>0</v>
      </c>
      <c r="BC6" s="78">
        <v>0</v>
      </c>
      <c r="BD6" s="78">
        <v>0</v>
      </c>
    </row>
    <row r="7" spans="1:56" ht="11.25" customHeight="1" x14ac:dyDescent="0.3">
      <c r="A7" s="125"/>
      <c r="B7" s="125"/>
      <c r="C7" s="125"/>
      <c r="D7" s="125"/>
      <c r="E7" s="125"/>
      <c r="F7" s="125"/>
      <c r="G7" s="21" t="s">
        <v>74</v>
      </c>
      <c r="H7" s="21" t="s">
        <v>67</v>
      </c>
      <c r="I7" s="21">
        <f>'MERCADO TUSD'!$U$4</f>
        <v>0</v>
      </c>
      <c r="J7" s="17"/>
      <c r="L7" s="78">
        <f>('TUSD BE'!$L$7+'TUSD BF'!$L$7+'TUSD CVA'!$L$7)*1</f>
        <v>40.907081923258112</v>
      </c>
      <c r="M7" s="78">
        <f>('TUSD BE'!$M$7+'TUSD BF'!$M$7+'TUSD CVA'!$M$7)*1</f>
        <v>1.7776184946812532</v>
      </c>
      <c r="N7" s="78">
        <f ca="1">('TUSD BE'!$N$7+'TUSD BF'!$N$7+'TUSD CVA'!$N$7)*1</f>
        <v>0</v>
      </c>
      <c r="O7" s="78">
        <f>('TUSD BE'!$O$7+'TUSD BF'!$O$7+'TUSD CVA'!$O$7)*1</f>
        <v>0</v>
      </c>
      <c r="P7" s="78">
        <f>('TUSD BE'!$P$7+'TUSD BF'!$P$7+'TUSD CVA'!$P$7)*1</f>
        <v>0</v>
      </c>
      <c r="Q7" s="78">
        <f>('TUSD BE'!$Q$7+'TUSD BF'!$Q$7+'TUSD CVA'!$Q$7)*1</f>
        <v>66.367048374843137</v>
      </c>
      <c r="R7" s="78">
        <f>('TUSD BE'!$R$7+'TUSD BF'!$R$7+'TUSD CVA'!$R$7)*1</f>
        <v>13.71025038076683</v>
      </c>
      <c r="S7" s="78">
        <f>('TUSD BE'!$S$7+'TUSD BF'!$S$7+'TUSD CVA'!$S$7)*1</f>
        <v>0</v>
      </c>
      <c r="T7" s="78">
        <f>('TUSD BE'!$U$7+'TUSD BF'!$U$7+'TUSD CVA'!$U$7)*1</f>
        <v>0</v>
      </c>
      <c r="U7" s="78">
        <f>('TUSD BE'!$V$7+'TUSD BF'!$V$7+'TUSD CVA'!$V$7)*1</f>
        <v>0</v>
      </c>
      <c r="V7" s="78">
        <f>('TUSD BE'!$W$7+'TUSD BF'!$W$7+'TUSD CVA'!$W$7)*1</f>
        <v>0</v>
      </c>
      <c r="W7" s="78">
        <f>('TUSD BE'!$X$7+'TUSD BF'!$X$7+'TUSD CVA'!$X$7)*1</f>
        <v>0</v>
      </c>
      <c r="X7" s="78">
        <f>('TUSD BE'!$Y$7+'TUSD BF'!$Y$7+'TUSD CVA'!$Y$7)*1</f>
        <v>0</v>
      </c>
      <c r="Y7" s="78">
        <f>('TUSD BE'!$Z$7+'TUSD BF'!$Z$7+'TUSD CVA'!$Z$7)*1</f>
        <v>0</v>
      </c>
      <c r="Z7" s="78">
        <f>('TUSD BE'!$AA$7+'TUSD BF'!$AA$7+'TUSD CVA'!$AA$7)*1</f>
        <v>0</v>
      </c>
      <c r="AA7" s="78">
        <f>('TUSD BE'!$AC$7+'TUSD BF'!$AC$7+'TUSD CVA'!$AC$7)*1</f>
        <v>0</v>
      </c>
      <c r="AB7" s="78">
        <f ca="1">('TUSD BE'!$AE$7+'TUSD BF'!$AE$7+'TUSD CVA'!$AE$7)*1</f>
        <v>0</v>
      </c>
      <c r="AC7" s="78">
        <f ca="1">('TUSD BE'!$AF$7+'TUSD BF'!$AF$7+'TUSD CVA'!$AF$7)*1</f>
        <v>0</v>
      </c>
      <c r="AD7" s="78">
        <f>('TUSD BE'!$AH$7+'TUSD BF'!$AH$7+'TUSD CVA'!$AH$7)*1</f>
        <v>10.445091930181082</v>
      </c>
      <c r="AE7" s="78">
        <f>('TUSD BE'!$AI$7+'TUSD BF'!$AI$7+'TUSD CVA'!$AI$7)*1</f>
        <v>0</v>
      </c>
      <c r="AF7" s="78">
        <f ca="1">('TUSD BE'!$AJ$7+'TUSD BF'!$AJ$7+'TUSD CVA'!$AJ$7)*1</f>
        <v>2.3760787137404913</v>
      </c>
      <c r="AG7" s="78">
        <f ca="1">('TUSD BE'!$AK$7+'TUSD BF'!$AK$7+'TUSD CVA'!$AK$7)*1</f>
        <v>0</v>
      </c>
      <c r="AI7" s="78">
        <v>0</v>
      </c>
      <c r="AJ7" s="78">
        <v>1.8657598159050199</v>
      </c>
      <c r="AK7" s="78">
        <v>0</v>
      </c>
      <c r="AL7" s="78">
        <v>0</v>
      </c>
      <c r="AM7" s="78">
        <v>0</v>
      </c>
      <c r="AN7" s="78">
        <v>97.478439451924004</v>
      </c>
      <c r="AO7" s="78">
        <v>9.3331335064927892</v>
      </c>
      <c r="AP7" s="78">
        <v>0</v>
      </c>
      <c r="AQ7" s="78">
        <v>0</v>
      </c>
      <c r="AR7" s="78">
        <v>0</v>
      </c>
      <c r="AS7" s="78">
        <v>0</v>
      </c>
      <c r="AT7" s="78">
        <v>0</v>
      </c>
      <c r="AU7" s="78">
        <v>0</v>
      </c>
      <c r="AV7" s="78">
        <v>0</v>
      </c>
      <c r="AW7" s="78">
        <v>0</v>
      </c>
      <c r="AX7" s="78">
        <v>0</v>
      </c>
      <c r="AY7" s="78">
        <v>2.2636651881188898</v>
      </c>
      <c r="AZ7" s="78">
        <v>0</v>
      </c>
      <c r="BA7" s="78">
        <v>12.273018954272899</v>
      </c>
      <c r="BB7" s="78">
        <v>0</v>
      </c>
      <c r="BC7" s="78">
        <v>0</v>
      </c>
      <c r="BD7" s="78">
        <v>0</v>
      </c>
    </row>
    <row r="8" spans="1:56" ht="11.25" customHeight="1" x14ac:dyDescent="0.3">
      <c r="A8" s="125"/>
      <c r="B8" s="125"/>
      <c r="C8" s="125"/>
      <c r="D8" s="125"/>
      <c r="E8" s="80" t="s">
        <v>75</v>
      </c>
      <c r="F8" s="80" t="s">
        <v>25</v>
      </c>
      <c r="G8" s="21" t="s">
        <v>74</v>
      </c>
      <c r="H8" s="21" t="s">
        <v>67</v>
      </c>
      <c r="I8" s="21">
        <f>'MERCADO TUSD'!$U$5</f>
        <v>0</v>
      </c>
      <c r="J8" s="17"/>
      <c r="L8" s="78">
        <f>('TUSD BE'!$L$8+'TUSD BF'!$L$8+'TUSD CVA'!$L$8)*1</f>
        <v>0</v>
      </c>
      <c r="M8" s="78">
        <f>('TUSD BE'!$M$8+'TUSD BF'!$M$8+'TUSD CVA'!$M$8)*1</f>
        <v>1.7776184946812532</v>
      </c>
      <c r="N8" s="78">
        <f ca="1">('TUSD BE'!$N$8+'TUSD BF'!$N$8+'TUSD CVA'!$N$8)*1</f>
        <v>0</v>
      </c>
      <c r="O8" s="78">
        <f>('TUSD BE'!$O$8+'TUSD BF'!$O$8+'TUSD CVA'!$O$8)*1</f>
        <v>0</v>
      </c>
      <c r="P8" s="78">
        <f>('TUSD BE'!$P$8+'TUSD BF'!$P$8+'TUSD CVA'!$P$8)*1</f>
        <v>0</v>
      </c>
      <c r="Q8" s="78">
        <f>('TUSD BE'!$Q$8+'TUSD BF'!$Q$8+'TUSD CVA'!$Q$8)*1</f>
        <v>0</v>
      </c>
      <c r="R8" s="78">
        <f>('TUSD BE'!$R$8+'TUSD BF'!$R$8+'TUSD CVA'!$R$8)*1</f>
        <v>0</v>
      </c>
      <c r="S8" s="78">
        <f>('TUSD BE'!$S$8+'TUSD BF'!$S$8+'TUSD CVA'!$S$8)*1</f>
        <v>0</v>
      </c>
      <c r="T8" s="78">
        <f>('TUSD BE'!$U$8+'TUSD BF'!$U$8+'TUSD CVA'!$U$8)*1</f>
        <v>0</v>
      </c>
      <c r="U8" s="78">
        <f>('TUSD BE'!$V$8+'TUSD BF'!$V$8+'TUSD CVA'!$V$8)*1</f>
        <v>0</v>
      </c>
      <c r="V8" s="78">
        <f>('TUSD BE'!$W$8+'TUSD BF'!$W$8+'TUSD CVA'!$W$8)*1</f>
        <v>0</v>
      </c>
      <c r="W8" s="78">
        <f>('TUSD BE'!$X$8+'TUSD BF'!$X$8+'TUSD CVA'!$X$8)*1</f>
        <v>0</v>
      </c>
      <c r="X8" s="78">
        <f>('TUSD BE'!$Y$8+'TUSD BF'!$Y$8+'TUSD CVA'!$Y$8)*1</f>
        <v>0</v>
      </c>
      <c r="Y8" s="78">
        <f>('TUSD BE'!$Z$8+'TUSD BF'!$Z$8+'TUSD CVA'!$Z$8)*1</f>
        <v>0</v>
      </c>
      <c r="Z8" s="78">
        <f>('TUSD BE'!$AA$8+'TUSD BF'!$AA$8+'TUSD CVA'!$AA$8)*1</f>
        <v>0</v>
      </c>
      <c r="AA8" s="78">
        <f>('TUSD BE'!$AC$8+'TUSD BF'!$AC$8+'TUSD CVA'!$AC$8)*1</f>
        <v>0</v>
      </c>
      <c r="AB8" s="78">
        <f ca="1">('TUSD BE'!$AE$8+'TUSD BF'!$AE$8+'TUSD CVA'!$AE$8)*1</f>
        <v>0</v>
      </c>
      <c r="AC8" s="78">
        <f ca="1">('TUSD BE'!$AF$8+'TUSD BF'!$AF$8+'TUSD CVA'!$AF$8)*1</f>
        <v>0</v>
      </c>
      <c r="AD8" s="78">
        <f>('TUSD BE'!$AH$8+'TUSD BF'!$AH$8+'TUSD CVA'!$AH$8)*1</f>
        <v>10.445091930181082</v>
      </c>
      <c r="AE8" s="78">
        <f>('TUSD BE'!$AI$8+'TUSD BF'!$AI$8+'TUSD CVA'!$AI$8)*1</f>
        <v>0</v>
      </c>
      <c r="AF8" s="78">
        <f ca="1">('TUSD BE'!$AJ$8+'TUSD BF'!$AJ$8+'TUSD CVA'!$AJ$8)*1</f>
        <v>2.3760787137404913</v>
      </c>
      <c r="AG8" s="78">
        <f ca="1">('TUSD BE'!$AK$8+'TUSD BF'!$AK$8+'TUSD CVA'!$AK$8)*1</f>
        <v>0</v>
      </c>
      <c r="AI8" s="78">
        <v>0</v>
      </c>
      <c r="AJ8" s="78">
        <v>1.8657598159050199</v>
      </c>
      <c r="AK8" s="78">
        <v>0</v>
      </c>
      <c r="AL8" s="78">
        <v>0</v>
      </c>
      <c r="AM8" s="78">
        <v>0</v>
      </c>
      <c r="AN8" s="78">
        <v>0</v>
      </c>
      <c r="AO8" s="78">
        <v>0</v>
      </c>
      <c r="AP8" s="78">
        <v>0</v>
      </c>
      <c r="AQ8" s="78">
        <v>0</v>
      </c>
      <c r="AR8" s="78">
        <v>0</v>
      </c>
      <c r="AS8" s="78">
        <v>0</v>
      </c>
      <c r="AT8" s="78">
        <v>0</v>
      </c>
      <c r="AU8" s="78">
        <v>0</v>
      </c>
      <c r="AV8" s="78">
        <v>0</v>
      </c>
      <c r="AW8" s="78">
        <v>0</v>
      </c>
      <c r="AX8" s="78">
        <v>0</v>
      </c>
      <c r="AY8" s="78">
        <v>0.20647255058259401</v>
      </c>
      <c r="AZ8" s="78">
        <v>0</v>
      </c>
      <c r="BA8" s="78">
        <v>12.273018954272899</v>
      </c>
      <c r="BB8" s="78">
        <v>0</v>
      </c>
      <c r="BC8" s="78">
        <v>0</v>
      </c>
      <c r="BD8" s="78">
        <v>0</v>
      </c>
    </row>
    <row r="9" spans="1:56" ht="11.25" customHeight="1" x14ac:dyDescent="0.3">
      <c r="A9" s="125"/>
      <c r="B9" s="80" t="s">
        <v>76</v>
      </c>
      <c r="C9" s="80" t="s">
        <v>25</v>
      </c>
      <c r="D9" s="80" t="s">
        <v>25</v>
      </c>
      <c r="E9" s="80" t="s">
        <v>25</v>
      </c>
      <c r="F9" s="80" t="s">
        <v>25</v>
      </c>
      <c r="G9" s="21" t="s">
        <v>9</v>
      </c>
      <c r="H9" s="21" t="s">
        <v>71</v>
      </c>
      <c r="I9" s="21">
        <f>'MERCADO TUSD'!$U$6</f>
        <v>0</v>
      </c>
      <c r="J9" s="17"/>
      <c r="L9" s="78">
        <f>('TUSD BE'!$L$9+'TUSD BF'!$L$9+'TUSD CVA'!$L$9)*1</f>
        <v>0</v>
      </c>
      <c r="M9" s="78">
        <f>('TUSD BE'!$M$9+'TUSD BF'!$M$9+'TUSD CVA'!$M$9)*1</f>
        <v>0</v>
      </c>
      <c r="N9" s="78">
        <f ca="1">('TUSD BE'!$N$9+'TUSD BF'!$N$9+'TUSD CVA'!$N$9)*1</f>
        <v>0</v>
      </c>
      <c r="O9" s="78">
        <f>('TUSD BE'!$O$9+'TUSD BF'!$O$9+'TUSD CVA'!$O$9)*1</f>
        <v>0</v>
      </c>
      <c r="P9" s="78">
        <f>('TUSD BE'!$P$9+'TUSD BF'!$P$9+'TUSD CVA'!$P$9)*1</f>
        <v>0</v>
      </c>
      <c r="Q9" s="78">
        <f>('TUSD BE'!$Q$9+'TUSD BF'!$Q$9+'TUSD CVA'!$Q$9)*1</f>
        <v>0</v>
      </c>
      <c r="R9" s="78">
        <f>('TUSD BE'!$R$9+'TUSD BF'!$R$9+'TUSD CVA'!$R$9)*1</f>
        <v>0</v>
      </c>
      <c r="S9" s="78">
        <f>('TUSD BE'!$S$9+'TUSD BF'!$S$9+'TUSD CVA'!$S$9)*1</f>
        <v>0</v>
      </c>
      <c r="T9" s="78">
        <f>('TUSD BE'!$U$9+'TUSD BF'!$U$9+'TUSD CVA'!$U$9)*1</f>
        <v>0</v>
      </c>
      <c r="U9" s="78">
        <f>('TUSD BE'!$V$9+'TUSD BF'!$V$9+'TUSD CVA'!$V$9)*1</f>
        <v>0</v>
      </c>
      <c r="V9" s="78">
        <f>('TUSD BE'!$W$9+'TUSD BF'!$W$9+'TUSD CVA'!$W$9)*1</f>
        <v>0</v>
      </c>
      <c r="W9" s="78">
        <f>('TUSD BE'!$X$9+'TUSD BF'!$X$9+'TUSD CVA'!$X$9)*1</f>
        <v>0</v>
      </c>
      <c r="X9" s="78">
        <f>('TUSD BE'!$Y$9+'TUSD BF'!$Y$9+'TUSD CVA'!$Y$9)*1</f>
        <v>0</v>
      </c>
      <c r="Y9" s="78">
        <f>('TUSD BE'!$Z$9+'TUSD BF'!$Z$9+'TUSD CVA'!$Z$9)*1</f>
        <v>0</v>
      </c>
      <c r="Z9" s="78">
        <f>('TUSD BE'!$AA$9+'TUSD BF'!$AA$9+'TUSD CVA'!$AA$9)*1</f>
        <v>0</v>
      </c>
      <c r="AA9" s="78">
        <f>('TUSD BE'!$AC$9+'TUSD BF'!$AC$9+'TUSD CVA'!$AC$9)*1</f>
        <v>12.445043627209509</v>
      </c>
      <c r="AB9" s="78">
        <f ca="1">('TUSD BE'!$AE$9+'TUSD BF'!$AE$9+'TUSD CVA'!$AE$9)*1</f>
        <v>0</v>
      </c>
      <c r="AC9" s="78">
        <f ca="1">('TUSD BE'!$AF$9+'TUSD BF'!$AF$9+'TUSD CVA'!$AF$9)*1</f>
        <v>0</v>
      </c>
      <c r="AD9" s="78">
        <f>('TUSD BE'!$AH$9+'TUSD BF'!$AH$9+'TUSD CVA'!$AH$9)*1</f>
        <v>0</v>
      </c>
      <c r="AE9" s="78">
        <f>('TUSD BE'!$AI$9+'TUSD BF'!$AI$9+'TUSD CVA'!$AI$9)*1</f>
        <v>0</v>
      </c>
      <c r="AF9" s="78">
        <f ca="1">('TUSD BE'!$AJ$9+'TUSD BF'!$AJ$9+'TUSD CVA'!$AJ$9)*1</f>
        <v>0</v>
      </c>
      <c r="AG9" s="78">
        <f ca="1">('TUSD BE'!$AK$9+'TUSD BF'!$AK$9+'TUSD CVA'!$AK$9)*1</f>
        <v>0</v>
      </c>
      <c r="AI9" s="78">
        <v>0</v>
      </c>
      <c r="AJ9" s="78">
        <v>0</v>
      </c>
      <c r="AK9" s="78">
        <v>0</v>
      </c>
      <c r="AL9" s="78">
        <v>0</v>
      </c>
      <c r="AM9" s="78">
        <v>0</v>
      </c>
      <c r="AN9" s="78">
        <v>0</v>
      </c>
      <c r="AO9" s="78">
        <v>0</v>
      </c>
      <c r="AP9" s="78">
        <v>0</v>
      </c>
      <c r="AQ9" s="78">
        <v>0</v>
      </c>
      <c r="AR9" s="78">
        <v>0</v>
      </c>
      <c r="AS9" s="78">
        <v>0</v>
      </c>
      <c r="AT9" s="78">
        <v>0</v>
      </c>
      <c r="AU9" s="78">
        <v>0</v>
      </c>
      <c r="AV9" s="78">
        <v>0</v>
      </c>
      <c r="AW9" s="78">
        <v>0</v>
      </c>
      <c r="AX9" s="78">
        <v>11.461480419181999</v>
      </c>
      <c r="AY9" s="78">
        <v>0.22535029248157501</v>
      </c>
      <c r="AZ9" s="78">
        <v>0</v>
      </c>
      <c r="BA9" s="78">
        <v>0.29028306903905199</v>
      </c>
      <c r="BB9" s="78">
        <v>0</v>
      </c>
      <c r="BC9" s="78">
        <v>0</v>
      </c>
      <c r="BD9" s="78">
        <v>0</v>
      </c>
    </row>
    <row r="10" spans="1:56" ht="11.25" customHeight="1" x14ac:dyDescent="0.3">
      <c r="A10" s="125"/>
      <c r="B10" s="125" t="s">
        <v>37</v>
      </c>
      <c r="C10" s="125" t="s">
        <v>25</v>
      </c>
      <c r="D10" s="125" t="s">
        <v>25</v>
      </c>
      <c r="E10" s="125" t="s">
        <v>25</v>
      </c>
      <c r="F10" s="125" t="s">
        <v>25</v>
      </c>
      <c r="G10" s="21" t="s">
        <v>9</v>
      </c>
      <c r="H10" s="21" t="s">
        <v>71</v>
      </c>
      <c r="I10" s="21">
        <f>'MERCADO TUSD'!$U$7</f>
        <v>15118</v>
      </c>
      <c r="J10" s="17"/>
      <c r="L10" s="78">
        <f>('TUSD BE'!$L$10+'TUSD BF'!$L$10+'TUSD CVA'!$L$10)*1</f>
        <v>0</v>
      </c>
      <c r="M10" s="78">
        <f>('TUSD BE'!$M$10+'TUSD BF'!$M$10+'TUSD CVA'!$M$10)*1</f>
        <v>0</v>
      </c>
      <c r="N10" s="78">
        <f ca="1">('TUSD BE'!$N$10+'TUSD BF'!$N$10+'TUSD CVA'!$N$10)*1</f>
        <v>0</v>
      </c>
      <c r="O10" s="78">
        <f>('TUSD BE'!$O$10+'TUSD BF'!$O$10+'TUSD CVA'!$O$10)*1</f>
        <v>0</v>
      </c>
      <c r="P10" s="78">
        <f>('TUSD BE'!$P$10+'TUSD BF'!$P$10+'TUSD CVA'!$P$10)*1</f>
        <v>0</v>
      </c>
      <c r="Q10" s="78">
        <f>('TUSD BE'!$Q$10+'TUSD BF'!$Q$10+'TUSD CVA'!$Q$10)*1</f>
        <v>0</v>
      </c>
      <c r="R10" s="78">
        <f>('TUSD BE'!$R$10+'TUSD BF'!$R$10+'TUSD CVA'!$R$10)*1</f>
        <v>0</v>
      </c>
      <c r="S10" s="78">
        <f>('TUSD BE'!$S$10+'TUSD BF'!$S$10+'TUSD CVA'!$S$10)*1</f>
        <v>0</v>
      </c>
      <c r="T10" s="78">
        <f>('TUSD BE'!$U$10+'TUSD BF'!$U$10+'TUSD CVA'!$U$10)*1</f>
        <v>0</v>
      </c>
      <c r="U10" s="78">
        <f>('TUSD BE'!$V$10+'TUSD BF'!$V$10+'TUSD CVA'!$V$10)*1</f>
        <v>0</v>
      </c>
      <c r="V10" s="78">
        <f>('TUSD BE'!$W$10+'TUSD BF'!$W$10+'TUSD CVA'!$W$10)*1</f>
        <v>0</v>
      </c>
      <c r="W10" s="78">
        <f>('TUSD BE'!$X$10+'TUSD BF'!$X$10+'TUSD CVA'!$X$10)*1</f>
        <v>0</v>
      </c>
      <c r="X10" s="78">
        <f>('TUSD BE'!$Y$10+'TUSD BF'!$Y$10+'TUSD CVA'!$Y$10)*1</f>
        <v>29.273559103570179</v>
      </c>
      <c r="Y10" s="78">
        <f>('TUSD BE'!$Z$10+'TUSD BF'!$Z$10+'TUSD CVA'!$Z$10)*1</f>
        <v>0</v>
      </c>
      <c r="Z10" s="78">
        <f>('TUSD BE'!$AA$10+'TUSD BF'!$AA$10+'TUSD CVA'!$AA$10)*1</f>
        <v>0</v>
      </c>
      <c r="AA10" s="78">
        <f>('TUSD BE'!$AC$10+'TUSD BF'!$AC$10+'TUSD CVA'!$AC$10)*1</f>
        <v>39.582745071444741</v>
      </c>
      <c r="AB10" s="78">
        <f ca="1">('TUSD BE'!$AE$10+'TUSD BF'!$AE$10+'TUSD CVA'!$AE$10)*1</f>
        <v>0</v>
      </c>
      <c r="AC10" s="78">
        <f ca="1">('TUSD BE'!$AF$10+'TUSD BF'!$AF$10+'TUSD CVA'!$AF$10)*1</f>
        <v>0</v>
      </c>
      <c r="AD10" s="78">
        <f>('TUSD BE'!$AH$10+'TUSD BF'!$AH$10+'TUSD CVA'!$AH$10)*1</f>
        <v>0</v>
      </c>
      <c r="AE10" s="78">
        <f>('TUSD BE'!$AI$10+'TUSD BF'!$AI$10+'TUSD CVA'!$AI$10)*1</f>
        <v>0</v>
      </c>
      <c r="AF10" s="78">
        <f ca="1">('TUSD BE'!$AJ$10+'TUSD BF'!$AJ$10+'TUSD CVA'!$AJ$10)*1</f>
        <v>0</v>
      </c>
      <c r="AG10" s="78">
        <f ca="1">('TUSD BE'!$AK$10+'TUSD BF'!$AK$10+'TUSD CVA'!$AK$10)*1</f>
        <v>0</v>
      </c>
      <c r="AI10" s="78">
        <v>0</v>
      </c>
      <c r="AJ10" s="78">
        <v>0</v>
      </c>
      <c r="AK10" s="78">
        <v>0</v>
      </c>
      <c r="AL10" s="78">
        <v>0</v>
      </c>
      <c r="AM10" s="78">
        <v>0</v>
      </c>
      <c r="AN10" s="78">
        <v>0</v>
      </c>
      <c r="AO10" s="78">
        <v>0</v>
      </c>
      <c r="AP10" s="78">
        <v>0</v>
      </c>
      <c r="AQ10" s="78">
        <v>0</v>
      </c>
      <c r="AR10" s="78">
        <v>0</v>
      </c>
      <c r="AS10" s="78">
        <v>0</v>
      </c>
      <c r="AT10" s="78">
        <v>0</v>
      </c>
      <c r="AU10" s="78">
        <v>15.5503335398638</v>
      </c>
      <c r="AV10" s="78">
        <v>0</v>
      </c>
      <c r="AW10" s="78">
        <v>0</v>
      </c>
      <c r="AX10" s="78">
        <v>36.454339989860898</v>
      </c>
      <c r="AY10" s="78">
        <v>1.0711628674650699</v>
      </c>
      <c r="AZ10" s="78">
        <v>0</v>
      </c>
      <c r="BA10" s="78">
        <v>0</v>
      </c>
      <c r="BB10" s="78">
        <v>0</v>
      </c>
      <c r="BC10" s="78">
        <v>0</v>
      </c>
      <c r="BD10" s="78">
        <v>0</v>
      </c>
    </row>
    <row r="11" spans="1:56" ht="11.25" customHeight="1" x14ac:dyDescent="0.3">
      <c r="A11" s="125"/>
      <c r="B11" s="125"/>
      <c r="C11" s="125"/>
      <c r="D11" s="125"/>
      <c r="E11" s="125"/>
      <c r="F11" s="125"/>
      <c r="G11" s="21" t="s">
        <v>68</v>
      </c>
      <c r="H11" s="21" t="s">
        <v>67</v>
      </c>
      <c r="I11" s="21">
        <f>'MERCADO TUSD'!$U$8</f>
        <v>149.95200000000003</v>
      </c>
      <c r="J11" s="17"/>
      <c r="L11" s="78">
        <f>('TUSD BE'!$L$11+'TUSD BF'!$L$11+'TUSD CVA'!$L$11)*1</f>
        <v>40.907081923258112</v>
      </c>
      <c r="M11" s="78">
        <f>('TUSD BE'!$M$11+'TUSD BF'!$M$11+'TUSD CVA'!$M$11)*1</f>
        <v>1.7776184946812532</v>
      </c>
      <c r="N11" s="78">
        <f ca="1">('TUSD BE'!$N$11+'TUSD BF'!$N$11+'TUSD CVA'!$N$11)*1</f>
        <v>0</v>
      </c>
      <c r="O11" s="78">
        <f>('TUSD BE'!$O$11+'TUSD BF'!$O$11+'TUSD CVA'!$O$11)*1</f>
        <v>0</v>
      </c>
      <c r="P11" s="78">
        <f>('TUSD BE'!$P$11+'TUSD BF'!$P$11+'TUSD CVA'!$P$11)*1</f>
        <v>0</v>
      </c>
      <c r="Q11" s="78">
        <f>('TUSD BE'!$Q$11+'TUSD BF'!$Q$11+'TUSD CVA'!$Q$11)*1</f>
        <v>66.367048374843137</v>
      </c>
      <c r="R11" s="78">
        <f>('TUSD BE'!$R$11+'TUSD BF'!$R$11+'TUSD CVA'!$R$11)*1</f>
        <v>13.71025038076683</v>
      </c>
      <c r="S11" s="78">
        <f>('TUSD BE'!$S$11+'TUSD BF'!$S$11+'TUSD CVA'!$S$11)*1</f>
        <v>0</v>
      </c>
      <c r="T11" s="78">
        <f>('TUSD BE'!$U$11+'TUSD BF'!$U$11+'TUSD CVA'!$U$11)*1</f>
        <v>0</v>
      </c>
      <c r="U11" s="78">
        <f>('TUSD BE'!$V$11+'TUSD BF'!$V$11+'TUSD CVA'!$V$11)*1</f>
        <v>0</v>
      </c>
      <c r="V11" s="78">
        <f>('TUSD BE'!$W$11+'TUSD BF'!$W$11+'TUSD CVA'!$W$11)*1</f>
        <v>0</v>
      </c>
      <c r="W11" s="78">
        <f>('TUSD BE'!$X$11+'TUSD BF'!$X$11+'TUSD CVA'!$X$11)*1</f>
        <v>0</v>
      </c>
      <c r="X11" s="78">
        <f>('TUSD BE'!$Y$11+'TUSD BF'!$Y$11+'TUSD CVA'!$Y$11)*1</f>
        <v>2126.8775480834238</v>
      </c>
      <c r="Y11" s="78">
        <f>('TUSD BE'!$Z$11+'TUSD BF'!$Z$11+'TUSD CVA'!$Z$11)*1</f>
        <v>0</v>
      </c>
      <c r="Z11" s="78">
        <f>('TUSD BE'!$AA$11+'TUSD BF'!$AA$11+'TUSD CVA'!$AA$11)*1</f>
        <v>0</v>
      </c>
      <c r="AA11" s="78">
        <f>('TUSD BE'!$AC$11+'TUSD BF'!$AC$11+'TUSD CVA'!$AC$11)*1</f>
        <v>2590.2179178846363</v>
      </c>
      <c r="AB11" s="78">
        <f ca="1">('TUSD BE'!$AE$11+'TUSD BF'!$AE$11+'TUSD CVA'!$AE$11)*1</f>
        <v>0</v>
      </c>
      <c r="AC11" s="78">
        <f ca="1">('TUSD BE'!$AF$11+'TUSD BF'!$AF$11+'TUSD CVA'!$AF$11)*1</f>
        <v>0</v>
      </c>
      <c r="AD11" s="78">
        <f>('TUSD BE'!$AH$11+'TUSD BF'!$AH$11+'TUSD CVA'!$AH$11)*1</f>
        <v>10.445091930181082</v>
      </c>
      <c r="AE11" s="78">
        <f>('TUSD BE'!$AI$11+'TUSD BF'!$AI$11+'TUSD CVA'!$AI$11)*1</f>
        <v>0</v>
      </c>
      <c r="AF11" s="78">
        <f ca="1">('TUSD BE'!$AJ$11+'TUSD BF'!$AJ$11+'TUSD CVA'!$AJ$11)*1</f>
        <v>2.3760787137404913</v>
      </c>
      <c r="AG11" s="78">
        <f ca="1">('TUSD BE'!$AK$11+'TUSD BF'!$AK$11+'TUSD CVA'!$AK$11)*1</f>
        <v>0</v>
      </c>
      <c r="AI11" s="78">
        <v>0</v>
      </c>
      <c r="AJ11" s="78">
        <v>1.8657598159050199</v>
      </c>
      <c r="AK11" s="78">
        <v>0</v>
      </c>
      <c r="AL11" s="78">
        <v>0</v>
      </c>
      <c r="AM11" s="78">
        <v>0</v>
      </c>
      <c r="AN11" s="78">
        <v>97.478439451924004</v>
      </c>
      <c r="AO11" s="78">
        <v>9.3331335064927892</v>
      </c>
      <c r="AP11" s="78">
        <v>0</v>
      </c>
      <c r="AQ11" s="78">
        <v>0</v>
      </c>
      <c r="AR11" s="78">
        <v>0</v>
      </c>
      <c r="AS11" s="78">
        <v>0</v>
      </c>
      <c r="AT11" s="78">
        <v>0</v>
      </c>
      <c r="AU11" s="78">
        <v>1129.81286361771</v>
      </c>
      <c r="AV11" s="78">
        <v>0</v>
      </c>
      <c r="AW11" s="78">
        <v>0</v>
      </c>
      <c r="AX11" s="78">
        <v>2385.4993176651701</v>
      </c>
      <c r="AY11" s="78">
        <v>75.008726618390497</v>
      </c>
      <c r="AZ11" s="78">
        <v>0</v>
      </c>
      <c r="BA11" s="78">
        <v>12.273018954272899</v>
      </c>
      <c r="BB11" s="78">
        <v>0</v>
      </c>
      <c r="BC11" s="78">
        <v>0</v>
      </c>
      <c r="BD11" s="78">
        <v>0</v>
      </c>
    </row>
    <row r="12" spans="1:56" ht="11.25" customHeight="1" x14ac:dyDescent="0.3">
      <c r="A12" s="125"/>
      <c r="B12" s="125"/>
      <c r="C12" s="125"/>
      <c r="D12" s="125"/>
      <c r="E12" s="125"/>
      <c r="F12" s="125"/>
      <c r="G12" s="21" t="s">
        <v>69</v>
      </c>
      <c r="H12" s="21" t="s">
        <v>67</v>
      </c>
      <c r="I12" s="21">
        <f>'MERCADO TUSD'!$U$9</f>
        <v>2536.7999999999997</v>
      </c>
      <c r="J12" s="17"/>
      <c r="L12" s="78">
        <f>('TUSD BE'!$L$12+'TUSD BF'!$L$12+'TUSD CVA'!$L$12)*1</f>
        <v>40.907081923258112</v>
      </c>
      <c r="M12" s="78">
        <f>('TUSD BE'!$M$12+'TUSD BF'!$M$12+'TUSD CVA'!$M$12)*1</f>
        <v>1.7776184946812532</v>
      </c>
      <c r="N12" s="78">
        <f ca="1">('TUSD BE'!$N$12+'TUSD BF'!$N$12+'TUSD CVA'!$N$12)*1</f>
        <v>0</v>
      </c>
      <c r="O12" s="78">
        <f>('TUSD BE'!$O$12+'TUSD BF'!$O$12+'TUSD CVA'!$O$12)*1</f>
        <v>0</v>
      </c>
      <c r="P12" s="78">
        <f>('TUSD BE'!$P$12+'TUSD BF'!$P$12+'TUSD CVA'!$P$12)*1</f>
        <v>0</v>
      </c>
      <c r="Q12" s="78">
        <f>('TUSD BE'!$Q$12+'TUSD BF'!$Q$12+'TUSD CVA'!$Q$12)*1</f>
        <v>66.367048374843137</v>
      </c>
      <c r="R12" s="78">
        <f>('TUSD BE'!$R$12+'TUSD BF'!$R$12+'TUSD CVA'!$R$12)*1</f>
        <v>13.71025038076683</v>
      </c>
      <c r="S12" s="78">
        <f>('TUSD BE'!$S$12+'TUSD BF'!$S$12+'TUSD CVA'!$S$12)*1</f>
        <v>0</v>
      </c>
      <c r="T12" s="78">
        <f>('TUSD BE'!$U$12+'TUSD BF'!$U$12+'TUSD CVA'!$U$12)*1</f>
        <v>0</v>
      </c>
      <c r="U12" s="78">
        <f>('TUSD BE'!$V$12+'TUSD BF'!$V$12+'TUSD CVA'!$V$12)*1</f>
        <v>0</v>
      </c>
      <c r="V12" s="78">
        <f>('TUSD BE'!$W$12+'TUSD BF'!$W$12+'TUSD CVA'!$W$12)*1</f>
        <v>0</v>
      </c>
      <c r="W12" s="78">
        <f>('TUSD BE'!$X$12+'TUSD BF'!$X$12+'TUSD CVA'!$X$12)*1</f>
        <v>0</v>
      </c>
      <c r="X12" s="78">
        <f>('TUSD BE'!$Y$12+'TUSD BF'!$Y$12+'TUSD CVA'!$Y$12)*1</f>
        <v>0</v>
      </c>
      <c r="Y12" s="78">
        <f>('TUSD BE'!$Z$12+'TUSD BF'!$Z$12+'TUSD CVA'!$Z$12)*1</f>
        <v>0</v>
      </c>
      <c r="Z12" s="78">
        <f>('TUSD BE'!$AA$12+'TUSD BF'!$AA$12+'TUSD CVA'!$AA$12)*1</f>
        <v>0</v>
      </c>
      <c r="AA12" s="78">
        <f>('TUSD BE'!$AC$12+'TUSD BF'!$AC$12+'TUSD CVA'!$AC$12)*1</f>
        <v>0</v>
      </c>
      <c r="AB12" s="78">
        <f ca="1">('TUSD BE'!$AE$12+'TUSD BF'!$AE$12+'TUSD CVA'!$AE$12)*1</f>
        <v>0</v>
      </c>
      <c r="AC12" s="78">
        <f ca="1">('TUSD BE'!$AF$12+'TUSD BF'!$AF$12+'TUSD CVA'!$AF$12)*1</f>
        <v>0</v>
      </c>
      <c r="AD12" s="78">
        <f>('TUSD BE'!$AH$12+'TUSD BF'!$AH$12+'TUSD CVA'!$AH$12)*1</f>
        <v>10.445091930181082</v>
      </c>
      <c r="AE12" s="78">
        <f>('TUSD BE'!$AI$12+'TUSD BF'!$AI$12+'TUSD CVA'!$AI$12)*1</f>
        <v>0</v>
      </c>
      <c r="AF12" s="78">
        <f ca="1">('TUSD BE'!$AJ$12+'TUSD BF'!$AJ$12+'TUSD CVA'!$AJ$12)*1</f>
        <v>2.3760787137404913</v>
      </c>
      <c r="AG12" s="78">
        <f ca="1">('TUSD BE'!$AK$12+'TUSD BF'!$AK$12+'TUSD CVA'!$AK$12)*1</f>
        <v>0</v>
      </c>
      <c r="AI12" s="78">
        <v>0</v>
      </c>
      <c r="AJ12" s="78">
        <v>1.8657598159050199</v>
      </c>
      <c r="AK12" s="78">
        <v>0</v>
      </c>
      <c r="AL12" s="78">
        <v>0</v>
      </c>
      <c r="AM12" s="78">
        <v>0</v>
      </c>
      <c r="AN12" s="78">
        <v>97.478439451924004</v>
      </c>
      <c r="AO12" s="78">
        <v>9.3331335064927892</v>
      </c>
      <c r="AP12" s="78">
        <v>0</v>
      </c>
      <c r="AQ12" s="78">
        <v>0</v>
      </c>
      <c r="AR12" s="78">
        <v>0</v>
      </c>
      <c r="AS12" s="78">
        <v>0</v>
      </c>
      <c r="AT12" s="78">
        <v>0</v>
      </c>
      <c r="AU12" s="78">
        <v>0</v>
      </c>
      <c r="AV12" s="78">
        <v>0</v>
      </c>
      <c r="AW12" s="78">
        <v>0</v>
      </c>
      <c r="AX12" s="78">
        <v>0</v>
      </c>
      <c r="AY12" s="78">
        <v>2.2636651881188898</v>
      </c>
      <c r="AZ12" s="78">
        <v>0</v>
      </c>
      <c r="BA12" s="78">
        <v>12.273018954272899</v>
      </c>
      <c r="BB12" s="78">
        <v>0</v>
      </c>
      <c r="BC12" s="78">
        <v>0</v>
      </c>
      <c r="BD12" s="78">
        <v>0</v>
      </c>
    </row>
    <row r="13" spans="1:56" ht="11.25" customHeight="1" x14ac:dyDescent="0.3">
      <c r="A13" s="125"/>
      <c r="B13" s="125"/>
      <c r="C13" s="125"/>
      <c r="D13" s="125"/>
      <c r="E13" s="125" t="s">
        <v>75</v>
      </c>
      <c r="F13" s="125" t="s">
        <v>25</v>
      </c>
      <c r="G13" s="21" t="s">
        <v>68</v>
      </c>
      <c r="H13" s="21" t="s">
        <v>67</v>
      </c>
      <c r="I13" s="21">
        <f>'MERCADO TUSD'!$U$10</f>
        <v>0</v>
      </c>
      <c r="J13" s="17"/>
      <c r="L13" s="78">
        <f>('TUSD BE'!$L$13+'TUSD BF'!$L$13+'TUSD CVA'!$L$13)*1</f>
        <v>0</v>
      </c>
      <c r="M13" s="78">
        <f>('TUSD BE'!$M$13+'TUSD BF'!$M$13+'TUSD CVA'!$M$13)*1</f>
        <v>1.7776184946812532</v>
      </c>
      <c r="N13" s="78">
        <f ca="1">('TUSD BE'!$N$13+'TUSD BF'!$N$13+'TUSD CVA'!$N$13)*1</f>
        <v>0</v>
      </c>
      <c r="O13" s="78">
        <f>('TUSD BE'!$O$13+'TUSD BF'!$O$13+'TUSD CVA'!$O$13)*1</f>
        <v>0</v>
      </c>
      <c r="P13" s="78">
        <f>('TUSD BE'!$P$13+'TUSD BF'!$P$13+'TUSD CVA'!$P$13)*1</f>
        <v>0</v>
      </c>
      <c r="Q13" s="78">
        <f>('TUSD BE'!$Q$13+'TUSD BF'!$Q$13+'TUSD CVA'!$Q$13)*1</f>
        <v>0</v>
      </c>
      <c r="R13" s="78">
        <f>('TUSD BE'!$R$13+'TUSD BF'!$R$13+'TUSD CVA'!$R$13)*1</f>
        <v>0</v>
      </c>
      <c r="S13" s="78">
        <f>('TUSD BE'!$S$13+'TUSD BF'!$S$13+'TUSD CVA'!$S$13)*1</f>
        <v>0</v>
      </c>
      <c r="T13" s="78">
        <f>('TUSD BE'!$U$13+'TUSD BF'!$U$13+'TUSD CVA'!$U$13)*1</f>
        <v>0</v>
      </c>
      <c r="U13" s="78">
        <f>('TUSD BE'!$V$13+'TUSD BF'!$V$13+'TUSD CVA'!$V$13)*1</f>
        <v>0</v>
      </c>
      <c r="V13" s="78">
        <f>('TUSD BE'!$W$13+'TUSD BF'!$W$13+'TUSD CVA'!$W$13)*1</f>
        <v>0</v>
      </c>
      <c r="W13" s="78">
        <f>('TUSD BE'!$X$13+'TUSD BF'!$X$13+'TUSD CVA'!$X$13)*1</f>
        <v>0</v>
      </c>
      <c r="X13" s="78">
        <f>('TUSD BE'!$Y$13+'TUSD BF'!$Y$13+'TUSD CVA'!$Y$13)*1</f>
        <v>2126.8775480834238</v>
      </c>
      <c r="Y13" s="78">
        <f>('TUSD BE'!$Z$13+'TUSD BF'!$Z$13+'TUSD CVA'!$Z$13)*1</f>
        <v>0</v>
      </c>
      <c r="Z13" s="78">
        <f>('TUSD BE'!$AA$13+'TUSD BF'!$AA$13+'TUSD CVA'!$AA$13)*1</f>
        <v>0</v>
      </c>
      <c r="AA13" s="78">
        <f>('TUSD BE'!$AC$13+'TUSD BF'!$AC$13+'TUSD CVA'!$AC$13)*1</f>
        <v>2590.2179178846363</v>
      </c>
      <c r="AB13" s="78">
        <f ca="1">('TUSD BE'!$AE$13+'TUSD BF'!$AE$13+'TUSD CVA'!$AE$13)*1</f>
        <v>0</v>
      </c>
      <c r="AC13" s="78">
        <f ca="1">('TUSD BE'!$AF$13+'TUSD BF'!$AF$13+'TUSD CVA'!$AF$13)*1</f>
        <v>0</v>
      </c>
      <c r="AD13" s="78">
        <f>('TUSD BE'!$AH$13+'TUSD BF'!$AH$13+'TUSD CVA'!$AH$13)*1</f>
        <v>10.445091930181082</v>
      </c>
      <c r="AE13" s="78">
        <f>('TUSD BE'!$AI$13+'TUSD BF'!$AI$13+'TUSD CVA'!$AI$13)*1</f>
        <v>0</v>
      </c>
      <c r="AF13" s="78">
        <f ca="1">('TUSD BE'!$AJ$13+'TUSD BF'!$AJ$13+'TUSD CVA'!$AJ$13)*1</f>
        <v>2.3760787137404913</v>
      </c>
      <c r="AG13" s="78">
        <f ca="1">('TUSD BE'!$AK$13+'TUSD BF'!$AK$13+'TUSD CVA'!$AK$13)*1</f>
        <v>0</v>
      </c>
      <c r="AI13" s="78">
        <v>0</v>
      </c>
      <c r="AJ13" s="78">
        <v>1.8657598159050199</v>
      </c>
      <c r="AK13" s="78">
        <v>0</v>
      </c>
      <c r="AL13" s="78">
        <v>0</v>
      </c>
      <c r="AM13" s="78">
        <v>0</v>
      </c>
      <c r="AN13" s="78">
        <v>0</v>
      </c>
      <c r="AO13" s="78">
        <v>0</v>
      </c>
      <c r="AP13" s="78">
        <v>0</v>
      </c>
      <c r="AQ13" s="78">
        <v>0</v>
      </c>
      <c r="AR13" s="78">
        <v>0</v>
      </c>
      <c r="AS13" s="78">
        <v>0</v>
      </c>
      <c r="AT13" s="78">
        <v>0</v>
      </c>
      <c r="AU13" s="78">
        <v>1129.81286361771</v>
      </c>
      <c r="AV13" s="78">
        <v>0</v>
      </c>
      <c r="AW13" s="78">
        <v>0</v>
      </c>
      <c r="AX13" s="78">
        <v>2385.4993176651701</v>
      </c>
      <c r="AY13" s="78">
        <v>72.951533980854194</v>
      </c>
      <c r="AZ13" s="78">
        <v>0</v>
      </c>
      <c r="BA13" s="78">
        <v>12.273018954272899</v>
      </c>
      <c r="BB13" s="78">
        <v>0</v>
      </c>
      <c r="BC13" s="78">
        <v>0</v>
      </c>
      <c r="BD13" s="78">
        <v>0</v>
      </c>
    </row>
    <row r="14" spans="1:56" ht="11.25" customHeight="1" x14ac:dyDescent="0.3">
      <c r="A14" s="125"/>
      <c r="B14" s="125"/>
      <c r="C14" s="125"/>
      <c r="D14" s="125"/>
      <c r="E14" s="125"/>
      <c r="F14" s="125"/>
      <c r="G14" s="21" t="s">
        <v>69</v>
      </c>
      <c r="H14" s="21" t="s">
        <v>67</v>
      </c>
      <c r="I14" s="21">
        <f>'MERCADO TUSD'!$U$11</f>
        <v>0</v>
      </c>
      <c r="J14" s="17"/>
      <c r="L14" s="78">
        <f>('TUSD BE'!$L$14+'TUSD BF'!$L$14+'TUSD CVA'!$L$14)*1</f>
        <v>0</v>
      </c>
      <c r="M14" s="78">
        <f>('TUSD BE'!$M$14+'TUSD BF'!$M$14+'TUSD CVA'!$M$14)*1</f>
        <v>1.7776184946812532</v>
      </c>
      <c r="N14" s="78">
        <f ca="1">('TUSD BE'!$N$14+'TUSD BF'!$N$14+'TUSD CVA'!$N$14)*1</f>
        <v>0</v>
      </c>
      <c r="O14" s="78">
        <f>('TUSD BE'!$O$14+'TUSD BF'!$O$14+'TUSD CVA'!$O$14)*1</f>
        <v>0</v>
      </c>
      <c r="P14" s="78">
        <f>('TUSD BE'!$P$14+'TUSD BF'!$P$14+'TUSD CVA'!$P$14)*1</f>
        <v>0</v>
      </c>
      <c r="Q14" s="78">
        <f>('TUSD BE'!$Q$14+'TUSD BF'!$Q$14+'TUSD CVA'!$Q$14)*1</f>
        <v>0</v>
      </c>
      <c r="R14" s="78">
        <f>('TUSD BE'!$R$14+'TUSD BF'!$R$14+'TUSD CVA'!$R$14)*1</f>
        <v>0</v>
      </c>
      <c r="S14" s="78">
        <f>('TUSD BE'!$S$14+'TUSD BF'!$S$14+'TUSD CVA'!$S$14)*1</f>
        <v>0</v>
      </c>
      <c r="T14" s="78">
        <f>('TUSD BE'!$U$14+'TUSD BF'!$U$14+'TUSD CVA'!$U$14)*1</f>
        <v>0</v>
      </c>
      <c r="U14" s="78">
        <f>('TUSD BE'!$V$14+'TUSD BF'!$V$14+'TUSD CVA'!$V$14)*1</f>
        <v>0</v>
      </c>
      <c r="V14" s="78">
        <f>('TUSD BE'!$W$14+'TUSD BF'!$W$14+'TUSD CVA'!$W$14)*1</f>
        <v>0</v>
      </c>
      <c r="W14" s="78">
        <f>('TUSD BE'!$X$14+'TUSD BF'!$X$14+'TUSD CVA'!$X$14)*1</f>
        <v>0</v>
      </c>
      <c r="X14" s="78">
        <f>('TUSD BE'!$Y$14+'TUSD BF'!$Y$14+'TUSD CVA'!$Y$14)*1</f>
        <v>0</v>
      </c>
      <c r="Y14" s="78">
        <f>('TUSD BE'!$Z$14+'TUSD BF'!$Z$14+'TUSD CVA'!$Z$14)*1</f>
        <v>0</v>
      </c>
      <c r="Z14" s="78">
        <f>('TUSD BE'!$AA$14+'TUSD BF'!$AA$14+'TUSD CVA'!$AA$14)*1</f>
        <v>0</v>
      </c>
      <c r="AA14" s="78">
        <f>('TUSD BE'!$AC$14+'TUSD BF'!$AC$14+'TUSD CVA'!$AC$14)*1</f>
        <v>0</v>
      </c>
      <c r="AB14" s="78">
        <f ca="1">('TUSD BE'!$AE$14+'TUSD BF'!$AE$14+'TUSD CVA'!$AE$14)*1</f>
        <v>0</v>
      </c>
      <c r="AC14" s="78">
        <f ca="1">('TUSD BE'!$AF$14+'TUSD BF'!$AF$14+'TUSD CVA'!$AF$14)*1</f>
        <v>0</v>
      </c>
      <c r="AD14" s="78">
        <f>('TUSD BE'!$AH$14+'TUSD BF'!$AH$14+'TUSD CVA'!$AH$14)*1</f>
        <v>10.445091930181082</v>
      </c>
      <c r="AE14" s="78">
        <f>('TUSD BE'!$AI$14+'TUSD BF'!$AI$14+'TUSD CVA'!$AI$14)*1</f>
        <v>0</v>
      </c>
      <c r="AF14" s="78">
        <f ca="1">('TUSD BE'!$AJ$14+'TUSD BF'!$AJ$14+'TUSD CVA'!$AJ$14)*1</f>
        <v>2.3760787137404913</v>
      </c>
      <c r="AG14" s="78">
        <f ca="1">('TUSD BE'!$AK$14+'TUSD BF'!$AK$14+'TUSD CVA'!$AK$14)*1</f>
        <v>0</v>
      </c>
      <c r="AI14" s="78">
        <v>0</v>
      </c>
      <c r="AJ14" s="78">
        <v>1.8657598159050199</v>
      </c>
      <c r="AK14" s="78">
        <v>0</v>
      </c>
      <c r="AL14" s="78">
        <v>0</v>
      </c>
      <c r="AM14" s="78">
        <v>0</v>
      </c>
      <c r="AN14" s="78">
        <v>0</v>
      </c>
      <c r="AO14" s="78">
        <v>0</v>
      </c>
      <c r="AP14" s="78">
        <v>0</v>
      </c>
      <c r="AQ14" s="78">
        <v>0</v>
      </c>
      <c r="AR14" s="78">
        <v>0</v>
      </c>
      <c r="AS14" s="78">
        <v>0</v>
      </c>
      <c r="AT14" s="78">
        <v>0</v>
      </c>
      <c r="AU14" s="78">
        <v>0</v>
      </c>
      <c r="AV14" s="78">
        <v>0</v>
      </c>
      <c r="AW14" s="78">
        <v>0</v>
      </c>
      <c r="AX14" s="78">
        <v>0</v>
      </c>
      <c r="AY14" s="78">
        <v>0.20647255058259401</v>
      </c>
      <c r="AZ14" s="78">
        <v>0</v>
      </c>
      <c r="BA14" s="78">
        <v>12.273018954272899</v>
      </c>
      <c r="BB14" s="78">
        <v>0</v>
      </c>
      <c r="BC14" s="78">
        <v>0</v>
      </c>
      <c r="BD14" s="78">
        <v>0</v>
      </c>
    </row>
    <row r="15" spans="1:56" ht="11.25" customHeight="1" x14ac:dyDescent="0.3">
      <c r="A15" s="125" t="s">
        <v>77</v>
      </c>
      <c r="B15" s="125" t="s">
        <v>76</v>
      </c>
      <c r="C15" s="125" t="s">
        <v>25</v>
      </c>
      <c r="D15" s="125" t="s">
        <v>25</v>
      </c>
      <c r="E15" s="80" t="s">
        <v>78</v>
      </c>
      <c r="F15" s="80" t="s">
        <v>25</v>
      </c>
      <c r="G15" s="21" t="s">
        <v>9</v>
      </c>
      <c r="H15" s="21" t="s">
        <v>71</v>
      </c>
      <c r="I15" s="21">
        <f>'MERCADO TUSD'!$U$12+0.00000001</f>
        <v>1E-8</v>
      </c>
      <c r="J15" s="17"/>
      <c r="L15" s="78">
        <f>('TUSD BE'!$L$15+'TUSD BF'!$L$15+'TUSD CVA'!$L$15)*1</f>
        <v>0</v>
      </c>
      <c r="M15" s="78">
        <f>('TUSD BE'!$M$15+'TUSD BF'!$M$15+'TUSD CVA'!$M$15)*1</f>
        <v>1.096004880523288E-2</v>
      </c>
      <c r="N15" s="78">
        <f ca="1">('TUSD BE'!$N$15+'TUSD BF'!$N$15+'TUSD CVA'!$N$15)*1</f>
        <v>0</v>
      </c>
      <c r="O15" s="78">
        <f>('TUSD BE'!$O$15+'TUSD BF'!$O$15+'TUSD CVA'!$O$15)*1</f>
        <v>0</v>
      </c>
      <c r="P15" s="78">
        <f>('TUSD BE'!$P$15+'TUSD BF'!$P$15+'TUSD CVA'!$P$15)*1</f>
        <v>0</v>
      </c>
      <c r="Q15" s="78">
        <f>('TUSD BE'!$Q$15+'TUSD BF'!$Q$15+'TUSD CVA'!$Q$15)*1</f>
        <v>0</v>
      </c>
      <c r="R15" s="78">
        <f>('TUSD BE'!$R$15+'TUSD BF'!$R$15+'TUSD CVA'!$R$15)*1</f>
        <v>0</v>
      </c>
      <c r="S15" s="78">
        <f>('TUSD BE'!$S$15+'TUSD BF'!$S$15+'TUSD CVA'!$S$15)*1</f>
        <v>0</v>
      </c>
      <c r="T15" s="78">
        <f>('TUSD BE'!$U$15+'TUSD BF'!$U$15+'TUSD CVA'!$U$15)*1</f>
        <v>0</v>
      </c>
      <c r="U15" s="78">
        <f>('TUSD BE'!$V$15+'TUSD BF'!$V$15+'TUSD CVA'!$V$15)*1</f>
        <v>0</v>
      </c>
      <c r="V15" s="78">
        <f>('TUSD BE'!$W$15+'TUSD BF'!$W$15+'TUSD CVA'!$W$15)*1</f>
        <v>0</v>
      </c>
      <c r="W15" s="78">
        <f>('TUSD BE'!$X$15+'TUSD BF'!$X$15+'TUSD CVA'!$X$15)*1</f>
        <v>0</v>
      </c>
      <c r="X15" s="78">
        <f>('TUSD BE'!$Y$15+'TUSD BF'!$Y$15+'TUSD CVA'!$Y$15)*1</f>
        <v>0</v>
      </c>
      <c r="Y15" s="78">
        <f>('TUSD BE'!$Z$15+'TUSD BF'!$Z$15+'TUSD CVA'!$Z$15)*1</f>
        <v>0</v>
      </c>
      <c r="Z15" s="78">
        <f>('TUSD BE'!$AA$15+'TUSD BF'!$AA$15+'TUSD CVA'!$AA$15)*1</f>
        <v>0</v>
      </c>
      <c r="AA15" s="78">
        <f>('TUSD BE'!$AC$15+'TUSD BF'!$AC$15+'TUSD CVA'!$AC$15)*1</f>
        <v>3.4613387129741611</v>
      </c>
      <c r="AB15" s="78">
        <f ca="1">('TUSD BE'!$AE$15+'TUSD BF'!$AE$15+'TUSD CVA'!$AE$15)*1</f>
        <v>0</v>
      </c>
      <c r="AC15" s="78">
        <f ca="1">('TUSD BE'!$AF$15+'TUSD BF'!$AF$15+'TUSD CVA'!$AF$15)*1</f>
        <v>0</v>
      </c>
      <c r="AD15" s="78">
        <f>('TUSD BE'!$AH$15+'TUSD BF'!$AH$15+'TUSD CVA'!$AH$15)*1</f>
        <v>0</v>
      </c>
      <c r="AE15" s="78">
        <f>('TUSD BE'!$AI$15+'TUSD BF'!$AI$15+'TUSD CVA'!$AI$15)*1</f>
        <v>0</v>
      </c>
      <c r="AF15" s="78">
        <f ca="1">('TUSD BE'!$AJ$15+'TUSD BF'!$AJ$15+'TUSD CVA'!$AJ$15)*1</f>
        <v>0</v>
      </c>
      <c r="AG15" s="78">
        <f ca="1">('TUSD BE'!$AK$15+'TUSD BF'!$AK$15+'TUSD CVA'!$AK$15)*1</f>
        <v>0</v>
      </c>
      <c r="AI15" s="78">
        <v>0</v>
      </c>
      <c r="AJ15" s="78">
        <v>1.1281258185512901E-2</v>
      </c>
      <c r="AK15" s="78">
        <v>0</v>
      </c>
      <c r="AL15" s="78">
        <v>0</v>
      </c>
      <c r="AM15" s="78">
        <v>0</v>
      </c>
      <c r="AN15" s="78">
        <v>0</v>
      </c>
      <c r="AO15" s="78">
        <v>0</v>
      </c>
      <c r="AP15" s="78">
        <v>0</v>
      </c>
      <c r="AQ15" s="78">
        <v>0</v>
      </c>
      <c r="AR15" s="78">
        <v>0</v>
      </c>
      <c r="AS15" s="78">
        <v>0</v>
      </c>
      <c r="AT15" s="78">
        <v>0</v>
      </c>
      <c r="AU15" s="78">
        <v>0</v>
      </c>
      <c r="AV15" s="78">
        <v>0</v>
      </c>
      <c r="AW15" s="78">
        <v>0</v>
      </c>
      <c r="AX15" s="78">
        <v>3.1877364310456802</v>
      </c>
      <c r="AY15" s="78">
        <v>6.1775335603543903E-2</v>
      </c>
      <c r="AZ15" s="78">
        <v>0</v>
      </c>
      <c r="BA15" s="78">
        <v>0</v>
      </c>
      <c r="BB15" s="78">
        <v>0</v>
      </c>
      <c r="BC15" s="78">
        <v>0</v>
      </c>
      <c r="BD15" s="78">
        <v>0</v>
      </c>
    </row>
    <row r="16" spans="1:56" ht="11.25" customHeight="1" x14ac:dyDescent="0.3">
      <c r="A16" s="125"/>
      <c r="B16" s="125"/>
      <c r="C16" s="125"/>
      <c r="D16" s="125"/>
      <c r="E16" s="80" t="s">
        <v>79</v>
      </c>
      <c r="F16" s="80" t="s">
        <v>25</v>
      </c>
      <c r="G16" s="21" t="s">
        <v>9</v>
      </c>
      <c r="H16" s="21" t="s">
        <v>71</v>
      </c>
      <c r="I16" s="21">
        <f>'MERCADO TUSD'!$U$13+0.00000001</f>
        <v>1E-8</v>
      </c>
      <c r="J16" s="17"/>
      <c r="L16" s="78">
        <f>('TUSD BE'!$L$16+'TUSD BF'!$L$16+'TUSD CVA'!$L$16)*1</f>
        <v>0</v>
      </c>
      <c r="M16" s="78">
        <f>('TUSD BE'!$M$16+'TUSD BF'!$M$16+'TUSD CVA'!$M$16)*1</f>
        <v>1.096004880523288E-2</v>
      </c>
      <c r="N16" s="78">
        <f ca="1">('TUSD BE'!$N$16+'TUSD BF'!$N$16+'TUSD CVA'!$N$16)*1</f>
        <v>0</v>
      </c>
      <c r="O16" s="78">
        <f>('TUSD BE'!$O$16+'TUSD BF'!$O$16+'TUSD CVA'!$O$16)*1</f>
        <v>0</v>
      </c>
      <c r="P16" s="78">
        <f>('TUSD BE'!$P$16+'TUSD BF'!$P$16+'TUSD CVA'!$P$16)*1</f>
        <v>0</v>
      </c>
      <c r="Q16" s="78">
        <f>('TUSD BE'!$Q$16+'TUSD BF'!$Q$16+'TUSD CVA'!$Q$16)*1</f>
        <v>0</v>
      </c>
      <c r="R16" s="78">
        <f>('TUSD BE'!$R$16+'TUSD BF'!$R$16+'TUSD CVA'!$R$16)*1</f>
        <v>0</v>
      </c>
      <c r="S16" s="78">
        <f>('TUSD BE'!$S$16+'TUSD BF'!$S$16+'TUSD CVA'!$S$16)*1</f>
        <v>0</v>
      </c>
      <c r="T16" s="78">
        <f>('TUSD BE'!$U$16+'TUSD BF'!$U$16+'TUSD CVA'!$U$16)*1</f>
        <v>0</v>
      </c>
      <c r="U16" s="78">
        <f>('TUSD BE'!$V$16+'TUSD BF'!$V$16+'TUSD CVA'!$V$16)*1</f>
        <v>0</v>
      </c>
      <c r="V16" s="78">
        <f>('TUSD BE'!$W$16+'TUSD BF'!$W$16+'TUSD CVA'!$W$16)*1</f>
        <v>0</v>
      </c>
      <c r="W16" s="78">
        <f>('TUSD BE'!$X$16+'TUSD BF'!$X$16+'TUSD CVA'!$X$16)*1</f>
        <v>0</v>
      </c>
      <c r="X16" s="78">
        <f>('TUSD BE'!$Y$16+'TUSD BF'!$Y$16+'TUSD CVA'!$Y$16)*1</f>
        <v>0</v>
      </c>
      <c r="Y16" s="78">
        <f>('TUSD BE'!$Z$16+'TUSD BF'!$Z$16+'TUSD CVA'!$Z$16)*1</f>
        <v>0</v>
      </c>
      <c r="Z16" s="78">
        <f>('TUSD BE'!$AA$16+'TUSD BF'!$AA$16+'TUSD CVA'!$AA$16)*1</f>
        <v>0</v>
      </c>
      <c r="AA16" s="78">
        <f>('TUSD BE'!$AC$16+'TUSD BF'!$AC$16+'TUSD CVA'!$AC$16)*1</f>
        <v>11.155655570863965</v>
      </c>
      <c r="AB16" s="78">
        <f ca="1">('TUSD BE'!$AE$16+'TUSD BF'!$AE$16+'TUSD CVA'!$AE$16)*1</f>
        <v>0</v>
      </c>
      <c r="AC16" s="78">
        <f ca="1">('TUSD BE'!$AF$16+'TUSD BF'!$AF$16+'TUSD CVA'!$AF$16)*1</f>
        <v>0</v>
      </c>
      <c r="AD16" s="78">
        <f>('TUSD BE'!$AH$16+'TUSD BF'!$AH$16+'TUSD CVA'!$AH$16)*1</f>
        <v>0</v>
      </c>
      <c r="AE16" s="78">
        <f>('TUSD BE'!$AI$16+'TUSD BF'!$AI$16+'TUSD CVA'!$AI$16)*1</f>
        <v>0</v>
      </c>
      <c r="AF16" s="78">
        <f ca="1">('TUSD BE'!$AJ$16+'TUSD BF'!$AJ$16+'TUSD CVA'!$AJ$16)*1</f>
        <v>0</v>
      </c>
      <c r="AG16" s="78">
        <f ca="1">('TUSD BE'!$AK$16+'TUSD BF'!$AK$16+'TUSD CVA'!$AK$16)*1</f>
        <v>0</v>
      </c>
      <c r="AI16" s="78">
        <v>0</v>
      </c>
      <c r="AJ16" s="78">
        <v>1.1281258185512901E-2</v>
      </c>
      <c r="AK16" s="78">
        <v>0</v>
      </c>
      <c r="AL16" s="78">
        <v>0</v>
      </c>
      <c r="AM16" s="78">
        <v>0</v>
      </c>
      <c r="AN16" s="78">
        <v>0</v>
      </c>
      <c r="AO16" s="78">
        <v>0</v>
      </c>
      <c r="AP16" s="78">
        <v>0</v>
      </c>
      <c r="AQ16" s="78">
        <v>0</v>
      </c>
      <c r="AR16" s="78">
        <v>0</v>
      </c>
      <c r="AS16" s="78">
        <v>0</v>
      </c>
      <c r="AT16" s="78">
        <v>0</v>
      </c>
      <c r="AU16" s="78">
        <v>0</v>
      </c>
      <c r="AV16" s="78">
        <v>0</v>
      </c>
      <c r="AW16" s="78">
        <v>0</v>
      </c>
      <c r="AX16" s="78">
        <v>10.2739446674265</v>
      </c>
      <c r="AY16" s="78">
        <v>0.19861201154354499</v>
      </c>
      <c r="AZ16" s="78">
        <v>0</v>
      </c>
      <c r="BA16" s="78">
        <v>0</v>
      </c>
      <c r="BB16" s="78">
        <v>0</v>
      </c>
      <c r="BC16" s="78">
        <v>0</v>
      </c>
      <c r="BD16" s="78">
        <v>0</v>
      </c>
    </row>
    <row r="17" spans="1:56" ht="11.25" customHeight="1" x14ac:dyDescent="0.3">
      <c r="A17" s="125" t="s">
        <v>22</v>
      </c>
      <c r="B17" s="125" t="s">
        <v>82</v>
      </c>
      <c r="C17" s="125" t="s">
        <v>24</v>
      </c>
      <c r="D17" s="125" t="s">
        <v>24</v>
      </c>
      <c r="E17" s="125" t="s">
        <v>25</v>
      </c>
      <c r="F17" s="125" t="s">
        <v>25</v>
      </c>
      <c r="G17" s="21" t="s">
        <v>68</v>
      </c>
      <c r="H17" s="21" t="s">
        <v>67</v>
      </c>
      <c r="I17" s="21">
        <f>'MERCADO TUSD'!$U$14</f>
        <v>0</v>
      </c>
      <c r="J17" s="17"/>
      <c r="L17" s="78">
        <f>('TUSD BE'!$L$17+'TUSD BF'!$L$17+'TUSD CVA'!$L$17)*1</f>
        <v>48.698907051497756</v>
      </c>
      <c r="M17" s="78">
        <f>('TUSD BE'!$M$17+'TUSD BF'!$M$17+'TUSD CVA'!$M$17)*1</f>
        <v>2.3768405154799148</v>
      </c>
      <c r="N17" s="78">
        <f ca="1">('TUSD BE'!$N$17+'TUSD BF'!$N$17+'TUSD CVA'!$N$17)*1</f>
        <v>0</v>
      </c>
      <c r="O17" s="78">
        <f>('TUSD BE'!$O$17+'TUSD BF'!$O$17+'TUSD CVA'!$O$17)*1</f>
        <v>0</v>
      </c>
      <c r="P17" s="78">
        <f>('TUSD BE'!$P$17+'TUSD BF'!$P$17+'TUSD CVA'!$P$17)*1</f>
        <v>0</v>
      </c>
      <c r="Q17" s="78">
        <f>('TUSD BE'!$Q$17+'TUSD BF'!$Q$17+'TUSD CVA'!$Q$17)*1</f>
        <v>79.008390922432312</v>
      </c>
      <c r="R17" s="78">
        <f>('TUSD BE'!$R$17+'TUSD BF'!$R$17+'TUSD CVA'!$R$17)*1</f>
        <v>13.71025038076683</v>
      </c>
      <c r="S17" s="78">
        <f>('TUSD BE'!$S$17+'TUSD BF'!$S$17+'TUSD CVA'!$S$17)*1</f>
        <v>0</v>
      </c>
      <c r="T17" s="78">
        <f>('TUSD BE'!$U$17+'TUSD BF'!$U$17+'TUSD CVA'!$U$17)*1</f>
        <v>0</v>
      </c>
      <c r="U17" s="78">
        <f>('TUSD BE'!$V$17+'TUSD BF'!$V$17+'TUSD CVA'!$V$17)*1</f>
        <v>0</v>
      </c>
      <c r="V17" s="78">
        <f>('TUSD BE'!$W$17+'TUSD BF'!$W$17+'TUSD CVA'!$W$17)*1</f>
        <v>0</v>
      </c>
      <c r="W17" s="78">
        <f>('TUSD BE'!$X$17+'TUSD BF'!$X$17+'TUSD CVA'!$X$17)*1</f>
        <v>0</v>
      </c>
      <c r="X17" s="78">
        <f>('TUSD BE'!$Y$17+'TUSD BF'!$Y$17+'TUSD CVA'!$Y$17)*1</f>
        <v>1119.0932387602613</v>
      </c>
      <c r="Y17" s="78">
        <f>('TUSD BE'!$Z$17+'TUSD BF'!$Z$17+'TUSD CVA'!$Z$17)*1</f>
        <v>0</v>
      </c>
      <c r="Z17" s="78">
        <f>('TUSD BE'!$AA$17+'TUSD BF'!$AA$17+'TUSD CVA'!$AA$17)*1</f>
        <v>0</v>
      </c>
      <c r="AA17" s="78">
        <f>('TUSD BE'!$AC$17+'TUSD BF'!$AC$17+'TUSD CVA'!$AC$17)*1</f>
        <v>1424.1967874421666</v>
      </c>
      <c r="AB17" s="78">
        <f ca="1">('TUSD BE'!$AE$17+'TUSD BF'!$AE$17+'TUSD CVA'!$AE$17)*1</f>
        <v>0</v>
      </c>
      <c r="AC17" s="78">
        <f ca="1">('TUSD BE'!$AF$17+'TUSD BF'!$AF$17+'TUSD CVA'!$AF$17)*1</f>
        <v>0</v>
      </c>
      <c r="AD17" s="78">
        <f>('TUSD BE'!$AH$17+'TUSD BF'!$AH$17+'TUSD CVA'!$AH$17)*1</f>
        <v>22.593468937112931</v>
      </c>
      <c r="AE17" s="78">
        <f>('TUSD BE'!$AI$17+'TUSD BF'!$AI$17+'TUSD CVA'!$AI$17)*1</f>
        <v>0</v>
      </c>
      <c r="AF17" s="78">
        <f ca="1">('TUSD BE'!$AJ$17+'TUSD BF'!$AJ$17+'TUSD CVA'!$AJ$17)*1</f>
        <v>3.0856163480390002</v>
      </c>
      <c r="AG17" s="78">
        <f ca="1">('TUSD BE'!$AK$17+'TUSD BF'!$AK$17+'TUSD CVA'!$AK$17)*1</f>
        <v>0</v>
      </c>
      <c r="AI17" s="78">
        <v>0</v>
      </c>
      <c r="AJ17" s="78">
        <v>2.2145746442069401</v>
      </c>
      <c r="AK17" s="78">
        <v>0</v>
      </c>
      <c r="AL17" s="78">
        <v>0</v>
      </c>
      <c r="AM17" s="78">
        <v>0</v>
      </c>
      <c r="AN17" s="78">
        <v>112.044183278074</v>
      </c>
      <c r="AO17" s="78">
        <v>9.3331335064927892</v>
      </c>
      <c r="AP17" s="78">
        <v>0</v>
      </c>
      <c r="AQ17" s="78">
        <v>0</v>
      </c>
      <c r="AR17" s="78">
        <v>0</v>
      </c>
      <c r="AS17" s="78">
        <v>0</v>
      </c>
      <c r="AT17" s="78">
        <v>0</v>
      </c>
      <c r="AU17" s="78">
        <v>594.47050341951399</v>
      </c>
      <c r="AV17" s="78">
        <v>0</v>
      </c>
      <c r="AW17" s="78">
        <v>0</v>
      </c>
      <c r="AX17" s="78">
        <v>1311.6349315074499</v>
      </c>
      <c r="AY17" s="78">
        <v>42.115185346528698</v>
      </c>
      <c r="AZ17" s="78">
        <v>0</v>
      </c>
      <c r="BA17" s="78">
        <v>26.5473791413011</v>
      </c>
      <c r="BB17" s="78">
        <v>0</v>
      </c>
      <c r="BC17" s="78">
        <v>0</v>
      </c>
      <c r="BD17" s="78">
        <v>0</v>
      </c>
    </row>
    <row r="18" spans="1:56" ht="11.25" customHeight="1" x14ac:dyDescent="0.3">
      <c r="A18" s="125"/>
      <c r="B18" s="125"/>
      <c r="C18" s="125"/>
      <c r="D18" s="125"/>
      <c r="E18" s="125"/>
      <c r="F18" s="125"/>
      <c r="G18" s="21" t="s">
        <v>80</v>
      </c>
      <c r="H18" s="21" t="s">
        <v>67</v>
      </c>
      <c r="I18" s="21">
        <f>'MERCADO TUSD'!$U$15</f>
        <v>0</v>
      </c>
      <c r="J18" s="17"/>
      <c r="L18" s="78">
        <f>('TUSD BE'!$L$18+'TUSD BF'!$L$18+'TUSD CVA'!$L$18)*1</f>
        <v>48.698907051497756</v>
      </c>
      <c r="M18" s="78">
        <f>('TUSD BE'!$M$18+'TUSD BF'!$M$18+'TUSD CVA'!$M$18)*1</f>
        <v>2.3768405154799148</v>
      </c>
      <c r="N18" s="78">
        <f ca="1">('TUSD BE'!$N$18+'TUSD BF'!$N$18+'TUSD CVA'!$N$18)*1</f>
        <v>0</v>
      </c>
      <c r="O18" s="78">
        <f>('TUSD BE'!$O$18+'TUSD BF'!$O$18+'TUSD CVA'!$O$18)*1</f>
        <v>0</v>
      </c>
      <c r="P18" s="78">
        <f>('TUSD BE'!$P$18+'TUSD BF'!$P$18+'TUSD CVA'!$P$18)*1</f>
        <v>0</v>
      </c>
      <c r="Q18" s="78">
        <f>('TUSD BE'!$Q$18+'TUSD BF'!$Q$18+'TUSD CVA'!$Q$18)*1</f>
        <v>79.008390922432312</v>
      </c>
      <c r="R18" s="78">
        <f>('TUSD BE'!$R$18+'TUSD BF'!$R$18+'TUSD CVA'!$R$18)*1</f>
        <v>13.71025038076683</v>
      </c>
      <c r="S18" s="78">
        <f>('TUSD BE'!$S$18+'TUSD BF'!$S$18+'TUSD CVA'!$S$18)*1</f>
        <v>0</v>
      </c>
      <c r="T18" s="78">
        <f>('TUSD BE'!$U$18+'TUSD BF'!$U$18+'TUSD CVA'!$U$18)*1</f>
        <v>0</v>
      </c>
      <c r="U18" s="78">
        <f>('TUSD BE'!$V$18+'TUSD BF'!$V$18+'TUSD CVA'!$V$18)*1</f>
        <v>0</v>
      </c>
      <c r="V18" s="78">
        <f>('TUSD BE'!$W$18+'TUSD BF'!$W$18+'TUSD CVA'!$W$18)*1</f>
        <v>0</v>
      </c>
      <c r="W18" s="78">
        <f>('TUSD BE'!$X$18+'TUSD BF'!$X$18+'TUSD CVA'!$X$18)*1</f>
        <v>0</v>
      </c>
      <c r="X18" s="78">
        <f>('TUSD BE'!$Y$18+'TUSD BF'!$Y$18+'TUSD CVA'!$Y$18)*1</f>
        <v>671.45418078639977</v>
      </c>
      <c r="Y18" s="78">
        <f>('TUSD BE'!$Z$18+'TUSD BF'!$Z$18+'TUSD CVA'!$Z$18)*1</f>
        <v>0</v>
      </c>
      <c r="Z18" s="78">
        <f>('TUSD BE'!$AA$18+'TUSD BF'!$AA$18+'TUSD CVA'!$AA$18)*1</f>
        <v>0</v>
      </c>
      <c r="AA18" s="78">
        <f>('TUSD BE'!$AC$18+'TUSD BF'!$AC$18+'TUSD CVA'!$AC$18)*1</f>
        <v>854.51811533415741</v>
      </c>
      <c r="AB18" s="78">
        <f ca="1">('TUSD BE'!$AE$18+'TUSD BF'!$AE$18+'TUSD CVA'!$AE$18)*1</f>
        <v>0</v>
      </c>
      <c r="AC18" s="78">
        <f ca="1">('TUSD BE'!$AF$18+'TUSD BF'!$AF$18+'TUSD CVA'!$AF$18)*1</f>
        <v>0</v>
      </c>
      <c r="AD18" s="78">
        <f>('TUSD BE'!$AH$18+'TUSD BF'!$AH$18+'TUSD CVA'!$AH$18)*1</f>
        <v>22.593468937112931</v>
      </c>
      <c r="AE18" s="78">
        <f>('TUSD BE'!$AI$18+'TUSD BF'!$AI$18+'TUSD CVA'!$AI$18)*1</f>
        <v>0</v>
      </c>
      <c r="AF18" s="78">
        <f ca="1">('TUSD BE'!$AJ$18+'TUSD BF'!$AJ$18+'TUSD CVA'!$AJ$18)*1</f>
        <v>3.0856163480390002</v>
      </c>
      <c r="AG18" s="78">
        <f ca="1">('TUSD BE'!$AK$18+'TUSD BF'!$AK$18+'TUSD CVA'!$AK$18)*1</f>
        <v>0</v>
      </c>
      <c r="AI18" s="78">
        <v>0</v>
      </c>
      <c r="AJ18" s="78">
        <v>2.2145746442069401</v>
      </c>
      <c r="AK18" s="78">
        <v>0</v>
      </c>
      <c r="AL18" s="78">
        <v>0</v>
      </c>
      <c r="AM18" s="78">
        <v>0</v>
      </c>
      <c r="AN18" s="78">
        <v>112.044183278074</v>
      </c>
      <c r="AO18" s="78">
        <v>9.3331335064927892</v>
      </c>
      <c r="AP18" s="78">
        <v>0</v>
      </c>
      <c r="AQ18" s="78">
        <v>0</v>
      </c>
      <c r="AR18" s="78">
        <v>0</v>
      </c>
      <c r="AS18" s="78">
        <v>0</v>
      </c>
      <c r="AT18" s="78">
        <v>0</v>
      </c>
      <c r="AU18" s="78">
        <v>356.68135651914798</v>
      </c>
      <c r="AV18" s="78">
        <v>0</v>
      </c>
      <c r="AW18" s="78">
        <v>0</v>
      </c>
      <c r="AX18" s="78">
        <v>786.98104102294099</v>
      </c>
      <c r="AY18" s="78">
        <v>26.368608252913099</v>
      </c>
      <c r="AZ18" s="78">
        <v>0</v>
      </c>
      <c r="BA18" s="78">
        <v>26.5473791413011</v>
      </c>
      <c r="BB18" s="78">
        <v>0</v>
      </c>
      <c r="BC18" s="78">
        <v>0</v>
      </c>
      <c r="BD18" s="78">
        <v>0</v>
      </c>
    </row>
    <row r="19" spans="1:56" ht="11.25" customHeight="1" x14ac:dyDescent="0.3">
      <c r="A19" s="125"/>
      <c r="B19" s="125"/>
      <c r="C19" s="125"/>
      <c r="D19" s="125"/>
      <c r="E19" s="125"/>
      <c r="F19" s="125"/>
      <c r="G19" s="21" t="s">
        <v>69</v>
      </c>
      <c r="H19" s="21" t="s">
        <v>67</v>
      </c>
      <c r="I19" s="21">
        <f>'MERCADO TUSD'!$U$16</f>
        <v>0</v>
      </c>
      <c r="J19" s="17"/>
      <c r="L19" s="78">
        <f>('TUSD BE'!$L$19+'TUSD BF'!$L$19+'TUSD CVA'!$L$19)*1</f>
        <v>48.698907051497756</v>
      </c>
      <c r="M19" s="78">
        <f>('TUSD BE'!$M$19+'TUSD BF'!$M$19+'TUSD CVA'!$M$19)*1</f>
        <v>2.3768405154799148</v>
      </c>
      <c r="N19" s="78">
        <f ca="1">('TUSD BE'!$N$19+'TUSD BF'!$N$19+'TUSD CVA'!$N$19)*1</f>
        <v>0</v>
      </c>
      <c r="O19" s="78">
        <f>('TUSD BE'!$O$19+'TUSD BF'!$O$19+'TUSD CVA'!$O$19)*1</f>
        <v>0</v>
      </c>
      <c r="P19" s="78">
        <f>('TUSD BE'!$P$19+'TUSD BF'!$P$19+'TUSD CVA'!$P$19)*1</f>
        <v>0</v>
      </c>
      <c r="Q19" s="78">
        <f>('TUSD BE'!$Q$19+'TUSD BF'!$Q$19+'TUSD CVA'!$Q$19)*1</f>
        <v>79.008390922432312</v>
      </c>
      <c r="R19" s="78">
        <f>('TUSD BE'!$R$19+'TUSD BF'!$R$19+'TUSD CVA'!$R$19)*1</f>
        <v>13.71025038076683</v>
      </c>
      <c r="S19" s="78">
        <f>('TUSD BE'!$S$19+'TUSD BF'!$S$19+'TUSD CVA'!$S$19)*1</f>
        <v>0</v>
      </c>
      <c r="T19" s="78">
        <f>('TUSD BE'!$U$19+'TUSD BF'!$U$19+'TUSD CVA'!$U$19)*1</f>
        <v>0</v>
      </c>
      <c r="U19" s="78">
        <f>('TUSD BE'!$V$19+'TUSD BF'!$V$19+'TUSD CVA'!$V$19)*1</f>
        <v>0</v>
      </c>
      <c r="V19" s="78">
        <f>('TUSD BE'!$W$19+'TUSD BF'!$W$19+'TUSD CVA'!$W$19)*1</f>
        <v>0</v>
      </c>
      <c r="W19" s="78">
        <f>('TUSD BE'!$X$19+'TUSD BF'!$X$19+'TUSD CVA'!$X$19)*1</f>
        <v>0</v>
      </c>
      <c r="X19" s="78">
        <f>('TUSD BE'!$Y$19+'TUSD BF'!$Y$19+'TUSD CVA'!$Y$19)*1</f>
        <v>223.81983286102678</v>
      </c>
      <c r="Y19" s="78">
        <f>('TUSD BE'!$Z$19+'TUSD BF'!$Z$19+'TUSD CVA'!$Z$19)*1</f>
        <v>0</v>
      </c>
      <c r="Z19" s="78">
        <f>('TUSD BE'!$AA$19+'TUSD BF'!$AA$19+'TUSD CVA'!$AA$19)*1</f>
        <v>0</v>
      </c>
      <c r="AA19" s="78">
        <f>('TUSD BE'!$AC$19+'TUSD BF'!$AC$19+'TUSD CVA'!$AC$19)*1</f>
        <v>284.83944322614798</v>
      </c>
      <c r="AB19" s="78">
        <f ca="1">('TUSD BE'!$AE$19+'TUSD BF'!$AE$19+'TUSD CVA'!$AE$19)*1</f>
        <v>0</v>
      </c>
      <c r="AC19" s="78">
        <f ca="1">('TUSD BE'!$AF$19+'TUSD BF'!$AF$19+'TUSD CVA'!$AF$19)*1</f>
        <v>0</v>
      </c>
      <c r="AD19" s="78">
        <f>('TUSD BE'!$AH$19+'TUSD BF'!$AH$19+'TUSD CVA'!$AH$19)*1</f>
        <v>22.593468937112931</v>
      </c>
      <c r="AE19" s="78">
        <f>('TUSD BE'!$AI$19+'TUSD BF'!$AI$19+'TUSD CVA'!$AI$19)*1</f>
        <v>0</v>
      </c>
      <c r="AF19" s="78">
        <f ca="1">('TUSD BE'!$AJ$19+'TUSD BF'!$AJ$19+'TUSD CVA'!$AJ$19)*1</f>
        <v>3.0856163480390002</v>
      </c>
      <c r="AG19" s="78">
        <f ca="1">('TUSD BE'!$AK$19+'TUSD BF'!$AK$19+'TUSD CVA'!$AK$19)*1</f>
        <v>0</v>
      </c>
      <c r="AI19" s="78">
        <v>0</v>
      </c>
      <c r="AJ19" s="78">
        <v>2.2145746442069401</v>
      </c>
      <c r="AK19" s="78">
        <v>0</v>
      </c>
      <c r="AL19" s="78">
        <v>0</v>
      </c>
      <c r="AM19" s="78">
        <v>0</v>
      </c>
      <c r="AN19" s="78">
        <v>112.044183278074</v>
      </c>
      <c r="AO19" s="78">
        <v>9.3331335064927892</v>
      </c>
      <c r="AP19" s="78">
        <v>0</v>
      </c>
      <c r="AQ19" s="78">
        <v>0</v>
      </c>
      <c r="AR19" s="78">
        <v>0</v>
      </c>
      <c r="AS19" s="78">
        <v>0</v>
      </c>
      <c r="AT19" s="78">
        <v>0</v>
      </c>
      <c r="AU19" s="78">
        <v>118.89473103894299</v>
      </c>
      <c r="AV19" s="78">
        <v>0</v>
      </c>
      <c r="AW19" s="78">
        <v>0</v>
      </c>
      <c r="AX19" s="78">
        <v>262.32704789034301</v>
      </c>
      <c r="AY19" s="78">
        <v>10.622088720174901</v>
      </c>
      <c r="AZ19" s="78">
        <v>0</v>
      </c>
      <c r="BA19" s="78">
        <v>26.5473791413011</v>
      </c>
      <c r="BB19" s="78">
        <v>0</v>
      </c>
      <c r="BC19" s="78">
        <v>0</v>
      </c>
      <c r="BD19" s="78">
        <v>0</v>
      </c>
    </row>
    <row r="20" spans="1:56" ht="11.25" customHeight="1" x14ac:dyDescent="0.3">
      <c r="A20" s="125"/>
      <c r="B20" s="125" t="s">
        <v>23</v>
      </c>
      <c r="C20" s="125" t="s">
        <v>24</v>
      </c>
      <c r="D20" s="80" t="s">
        <v>24</v>
      </c>
      <c r="E20" s="80" t="s">
        <v>25</v>
      </c>
      <c r="F20" s="80" t="s">
        <v>25</v>
      </c>
      <c r="G20" s="21" t="s">
        <v>74</v>
      </c>
      <c r="H20" s="21" t="s">
        <v>67</v>
      </c>
      <c r="I20" s="21">
        <f>'MERCADO TUSD'!$U$17</f>
        <v>8666.1360000000022</v>
      </c>
      <c r="J20" s="17"/>
      <c r="L20" s="78">
        <f>('TUSD BE'!$L$20+'TUSD BF'!$L$20+'TUSD CVA'!$L$20)*1</f>
        <v>48.698907051497756</v>
      </c>
      <c r="M20" s="78">
        <f>('TUSD BE'!$M$20+'TUSD BF'!$M$20+'TUSD CVA'!$M$20)*1</f>
        <v>2.3768405154799148</v>
      </c>
      <c r="N20" s="78">
        <f ca="1">('TUSD BE'!$N$20+'TUSD BF'!$N$20+'TUSD CVA'!$N$20)*1</f>
        <v>0</v>
      </c>
      <c r="O20" s="78">
        <f>('TUSD BE'!$O$20+'TUSD BF'!$O$20+'TUSD CVA'!$O$20)*1</f>
        <v>0</v>
      </c>
      <c r="P20" s="78">
        <f>('TUSD BE'!$P$20+'TUSD BF'!$P$20+'TUSD CVA'!$P$20)*1</f>
        <v>0</v>
      </c>
      <c r="Q20" s="78">
        <f>('TUSD BE'!$Q$20+'TUSD BF'!$Q$20+'TUSD CVA'!$Q$20)*1</f>
        <v>79.008390922432312</v>
      </c>
      <c r="R20" s="78">
        <f>('TUSD BE'!$R$20+'TUSD BF'!$R$20+'TUSD CVA'!$R$20)*1</f>
        <v>13.71025038076683</v>
      </c>
      <c r="S20" s="78">
        <f>('TUSD BE'!$S$20+'TUSD BF'!$S$20+'TUSD CVA'!$S$20)*1</f>
        <v>0</v>
      </c>
      <c r="T20" s="78">
        <f>('TUSD BE'!$U$20+'TUSD BF'!$U$20+'TUSD CVA'!$U$20)*1</f>
        <v>0</v>
      </c>
      <c r="U20" s="78">
        <f>('TUSD BE'!$V$20+'TUSD BF'!$V$20+'TUSD CVA'!$V$20)*1</f>
        <v>0</v>
      </c>
      <c r="V20" s="78">
        <f>('TUSD BE'!$W$20+'TUSD BF'!$W$20+'TUSD CVA'!$W$20)*1</f>
        <v>0</v>
      </c>
      <c r="W20" s="78">
        <f>('TUSD BE'!$X$20+'TUSD BF'!$X$20+'TUSD CVA'!$X$20)*1</f>
        <v>0</v>
      </c>
      <c r="X20" s="78">
        <f>('TUSD BE'!$Y$20+'TUSD BF'!$Y$20+'TUSD CVA'!$Y$20)*1</f>
        <v>385.89518427653263</v>
      </c>
      <c r="Y20" s="78">
        <f>('TUSD BE'!$Z$20+'TUSD BF'!$Z$20+'TUSD CVA'!$Z$20)*1</f>
        <v>0</v>
      </c>
      <c r="Z20" s="78">
        <f>('TUSD BE'!$AA$20+'TUSD BF'!$AA$20+'TUSD CVA'!$AA$20)*1</f>
        <v>0</v>
      </c>
      <c r="AA20" s="78">
        <f>('TUSD BE'!$AC$20+'TUSD BF'!$AC$20+'TUSD CVA'!$AC$20)*1</f>
        <v>491.1023072369785</v>
      </c>
      <c r="AB20" s="78">
        <f ca="1">('TUSD BE'!$AE$20+'TUSD BF'!$AE$20+'TUSD CVA'!$AE$20)*1</f>
        <v>0</v>
      </c>
      <c r="AC20" s="78">
        <f ca="1">('TUSD BE'!$AF$20+'TUSD BF'!$AF$20+'TUSD CVA'!$AF$20)*1</f>
        <v>0</v>
      </c>
      <c r="AD20" s="78">
        <f>('TUSD BE'!$AH$20+'TUSD BF'!$AH$20+'TUSD CVA'!$AH$20)*1</f>
        <v>22.593468937112931</v>
      </c>
      <c r="AE20" s="78">
        <f>('TUSD BE'!$AI$20+'TUSD BF'!$AI$20+'TUSD CVA'!$AI$20)*1</f>
        <v>0</v>
      </c>
      <c r="AF20" s="78">
        <f ca="1">('TUSD BE'!$AJ$20+'TUSD BF'!$AJ$20+'TUSD CVA'!$AJ$20)*1</f>
        <v>3.0856163480390002</v>
      </c>
      <c r="AG20" s="78">
        <f ca="1">('TUSD BE'!$AK$20+'TUSD BF'!$AK$20+'TUSD CVA'!$AK$20)*1</f>
        <v>0</v>
      </c>
      <c r="AI20" s="78">
        <v>0</v>
      </c>
      <c r="AJ20" s="78">
        <v>2.2145746442069401</v>
      </c>
      <c r="AK20" s="78">
        <v>0</v>
      </c>
      <c r="AL20" s="78">
        <v>0</v>
      </c>
      <c r="AM20" s="78">
        <v>0</v>
      </c>
      <c r="AN20" s="78">
        <v>112.044183278074</v>
      </c>
      <c r="AO20" s="78">
        <v>9.3331335064927892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204.99030334299499</v>
      </c>
      <c r="AV20" s="78">
        <v>0</v>
      </c>
      <c r="AW20" s="78">
        <v>0</v>
      </c>
      <c r="AX20" s="78">
        <v>452.28791095595</v>
      </c>
      <c r="AY20" s="78">
        <v>16.3234232889215</v>
      </c>
      <c r="AZ20" s="78">
        <v>0</v>
      </c>
      <c r="BA20" s="78">
        <v>26.5473791413011</v>
      </c>
      <c r="BB20" s="78">
        <v>0</v>
      </c>
      <c r="BC20" s="78">
        <v>0</v>
      </c>
      <c r="BD20" s="78">
        <v>0</v>
      </c>
    </row>
    <row r="21" spans="1:56" ht="11.25" customHeight="1" x14ac:dyDescent="0.3">
      <c r="A21" s="125"/>
      <c r="B21" s="125"/>
      <c r="C21" s="125"/>
      <c r="D21" s="80" t="s">
        <v>29</v>
      </c>
      <c r="E21" s="80" t="s">
        <v>25</v>
      </c>
      <c r="F21" s="80" t="s">
        <v>25</v>
      </c>
      <c r="G21" s="21" t="s">
        <v>74</v>
      </c>
      <c r="H21" s="21" t="s">
        <v>67</v>
      </c>
      <c r="I21" s="21">
        <f>'MERCADO TUSD'!$U$18</f>
        <v>34.769999999999996</v>
      </c>
      <c r="J21" s="17"/>
      <c r="L21" s="78">
        <f>('TUSD BE'!$L$21+'TUSD BF'!$L$21+'TUSD CVA'!$L$21)*(1 - 0.65)</f>
        <v>0</v>
      </c>
      <c r="M21" s="78">
        <f>('TUSD BE'!$M$21+'TUSD BF'!$M$21+'TUSD CVA'!$M$21)*(1 - 0.65)</f>
        <v>0.83189418041797014</v>
      </c>
      <c r="N21" s="78">
        <f ca="1">('TUSD BE'!$N$21+'TUSD BF'!$N$21+'TUSD CVA'!$N$21)*(1 - 0.65)</f>
        <v>0</v>
      </c>
      <c r="O21" s="78">
        <f>('TUSD BE'!$O$21+'TUSD BF'!$O$21+'TUSD CVA'!$O$21)*(1 - 0.65)</f>
        <v>0</v>
      </c>
      <c r="P21" s="78">
        <v>0</v>
      </c>
      <c r="Q21" s="78">
        <f>('TUSD BE'!$Q$21+'TUSD BF'!$Q$21+'TUSD CVA'!$Q$21)*(1 - 0.65)</f>
        <v>0</v>
      </c>
      <c r="R21" s="78">
        <v>0</v>
      </c>
      <c r="S21" s="78">
        <f>('TUSD BE'!$S$21+'TUSD BF'!$S$21+'TUSD CVA'!$S$21)*(1 - 0.65)</f>
        <v>0</v>
      </c>
      <c r="T21" s="78">
        <f>('TUSD BE'!$U$21+'TUSD BF'!$U$21+'TUSD CVA'!$U$21)*(1 - 0.65)</f>
        <v>0</v>
      </c>
      <c r="U21" s="78">
        <f>('TUSD BE'!$V$21+'TUSD BF'!$V$21+'TUSD CVA'!$V$21)*(1 - 0.65)</f>
        <v>0</v>
      </c>
      <c r="V21" s="78">
        <f>('TUSD BE'!$W$21+'TUSD BF'!$W$21+'TUSD CVA'!$W$21)*(1 - 0.65)</f>
        <v>0</v>
      </c>
      <c r="W21" s="78">
        <f>('TUSD BE'!$X$21+'TUSD BF'!$X$21+'TUSD CVA'!$X$21)*(1 - 0.65)</f>
        <v>0</v>
      </c>
      <c r="X21" s="78">
        <f>('TUSD BE'!$Y$21+'TUSD BF'!$Y$21+'TUSD CVA'!$Y$21)*(1 - 0.65)</f>
        <v>135.0633144967864</v>
      </c>
      <c r="Y21" s="78">
        <f>('TUSD BE'!$Z$21+'TUSD BF'!$Z$21+'TUSD CVA'!$Z$21)*(1 - 0.65)</f>
        <v>0</v>
      </c>
      <c r="Z21" s="78">
        <f>('TUSD BE'!$AA$21+'TUSD BF'!$AA$21+'TUSD CVA'!$AA$21)*(1 - 0.65)</f>
        <v>0</v>
      </c>
      <c r="AA21" s="78">
        <f>('TUSD BE'!$AC$21+'TUSD BF'!$AC$21+'TUSD CVA'!$AC$21)*(1 - 0.65)</f>
        <v>171.88580753294247</v>
      </c>
      <c r="AB21" s="78">
        <f ca="1">('TUSD BE'!$AE$21+'TUSD BF'!$AE$21+'TUSD CVA'!$AE$21)*(1 - 0.65)</f>
        <v>0</v>
      </c>
      <c r="AC21" s="78">
        <f ca="1">('TUSD BE'!$AF$21+'TUSD BF'!$AF$21+'TUSD CVA'!$AF$21)*(1 - 0.65)</f>
        <v>0</v>
      </c>
      <c r="AD21" s="78">
        <f>('TUSD BE'!$AH$21+'TUSD BF'!$AH$21+'TUSD CVA'!$AH$21)*(1 - 0.65)</f>
        <v>7.9077141279895251</v>
      </c>
      <c r="AE21" s="78">
        <f>('TUSD BE'!$AI$21+'TUSD BF'!$AI$21+'TUSD CVA'!$AI$21)*(1 - 0.65)</f>
        <v>0</v>
      </c>
      <c r="AF21" s="78">
        <f ca="1">('TUSD BE'!$AJ$21+'TUSD BF'!$AJ$21+'TUSD CVA'!$AJ$21)*(1 - 0.65)</f>
        <v>1.07996572181365</v>
      </c>
      <c r="AG21" s="78">
        <f ca="1">('TUSD BE'!$AK$21+'TUSD BF'!$AK$21+'TUSD CVA'!$AK$21)*(1 - 0.65)</f>
        <v>0</v>
      </c>
      <c r="AI21" s="78">
        <v>0</v>
      </c>
      <c r="AJ21" s="78">
        <v>0.77510112547243004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0</v>
      </c>
      <c r="AT21" s="78">
        <v>0</v>
      </c>
      <c r="AU21" s="78">
        <v>71.746606170048196</v>
      </c>
      <c r="AV21" s="78">
        <v>0</v>
      </c>
      <c r="AW21" s="78">
        <v>0</v>
      </c>
      <c r="AX21" s="78">
        <v>158.30076883458301</v>
      </c>
      <c r="AY21" s="78">
        <v>4.8950470728013302</v>
      </c>
      <c r="AZ21" s="78">
        <v>0</v>
      </c>
      <c r="BA21" s="78">
        <v>9.2915826994553896</v>
      </c>
      <c r="BB21" s="78">
        <v>0</v>
      </c>
      <c r="BC21" s="78">
        <v>0</v>
      </c>
      <c r="BD21" s="78">
        <v>0</v>
      </c>
    </row>
    <row r="22" spans="1:56" ht="11.25" customHeight="1" x14ac:dyDescent="0.3">
      <c r="A22" s="125"/>
      <c r="B22" s="125"/>
      <c r="C22" s="125"/>
      <c r="D22" s="80" t="s">
        <v>30</v>
      </c>
      <c r="E22" s="80" t="s">
        <v>25</v>
      </c>
      <c r="F22" s="80" t="s">
        <v>25</v>
      </c>
      <c r="G22" s="21" t="s">
        <v>74</v>
      </c>
      <c r="H22" s="21" t="s">
        <v>67</v>
      </c>
      <c r="I22" s="21">
        <f>'MERCADO TUSD'!$U$19</f>
        <v>75.075000000000003</v>
      </c>
      <c r="J22" s="17"/>
      <c r="L22" s="78">
        <f>('TUSD BE'!$L$22+'TUSD BF'!$L$22+'TUSD CVA'!$L$22)*(1 - 0.4)</f>
        <v>0</v>
      </c>
      <c r="M22" s="78">
        <f>('TUSD BE'!$M$22+'TUSD BF'!$M$22+'TUSD CVA'!$M$22)*(1 - 0.4)</f>
        <v>1.4261043092879488</v>
      </c>
      <c r="N22" s="78">
        <f ca="1">('TUSD BE'!$N$22+'TUSD BF'!$N$22+'TUSD CVA'!$N$22)*(1 - 0.4)</f>
        <v>0</v>
      </c>
      <c r="O22" s="78">
        <f>('TUSD BE'!$O$22+'TUSD BF'!$O$22+'TUSD CVA'!$O$22)*(1 - 0.4)</f>
        <v>0</v>
      </c>
      <c r="P22" s="78">
        <v>0</v>
      </c>
      <c r="Q22" s="78">
        <f>('TUSD BE'!$Q$22+'TUSD BF'!$Q$22+'TUSD CVA'!$Q$22)*(1 - 0.4)</f>
        <v>0</v>
      </c>
      <c r="R22" s="78">
        <v>0</v>
      </c>
      <c r="S22" s="78">
        <f>('TUSD BE'!$S$22+'TUSD BF'!$S$22+'TUSD CVA'!$S$22)*(1 - 0.4)</f>
        <v>0</v>
      </c>
      <c r="T22" s="78">
        <f>('TUSD BE'!$U$22+'TUSD BF'!$U$22+'TUSD CVA'!$U$22)*(1 - 0.4)</f>
        <v>0</v>
      </c>
      <c r="U22" s="78">
        <f>('TUSD BE'!$V$22+'TUSD BF'!$V$22+'TUSD CVA'!$V$22)*(1 - 0.4)</f>
        <v>0</v>
      </c>
      <c r="V22" s="78">
        <f>('TUSD BE'!$W$22+'TUSD BF'!$W$22+'TUSD CVA'!$W$22)*(1 - 0.4)</f>
        <v>0</v>
      </c>
      <c r="W22" s="78">
        <f>('TUSD BE'!$X$22+'TUSD BF'!$X$22+'TUSD CVA'!$X$22)*(1 - 0.4)</f>
        <v>0</v>
      </c>
      <c r="X22" s="78">
        <f>('TUSD BE'!$Y$22+'TUSD BF'!$Y$22+'TUSD CVA'!$Y$22)*(1 - 0.4)</f>
        <v>231.53711056591956</v>
      </c>
      <c r="Y22" s="78">
        <f>('TUSD BE'!$Z$22+'TUSD BF'!$Z$22+'TUSD CVA'!$Z$22)*(1 - 0.4)</f>
        <v>0</v>
      </c>
      <c r="Z22" s="78">
        <f>('TUSD BE'!$AA$22+'TUSD BF'!$AA$22+'TUSD CVA'!$AA$22)*(1 - 0.4)</f>
        <v>0</v>
      </c>
      <c r="AA22" s="78">
        <f>('TUSD BE'!$AC$22+'TUSD BF'!$AC$22+'TUSD CVA'!$AC$22)*(1 - 0.4)</f>
        <v>294.66138434218709</v>
      </c>
      <c r="AB22" s="78">
        <f ca="1">('TUSD BE'!$AE$22+'TUSD BF'!$AE$22+'TUSD CVA'!$AE$22)*(1 - 0.4)</f>
        <v>0</v>
      </c>
      <c r="AC22" s="78">
        <f ca="1">('TUSD BE'!$AF$22+'TUSD BF'!$AF$22+'TUSD CVA'!$AF$22)*(1 - 0.4)</f>
        <v>0</v>
      </c>
      <c r="AD22" s="78">
        <f>('TUSD BE'!$AH$22+'TUSD BF'!$AH$22+'TUSD CVA'!$AH$22)*(1 - 0.4)</f>
        <v>13.556081362267758</v>
      </c>
      <c r="AE22" s="78">
        <f>('TUSD BE'!$AI$22+'TUSD BF'!$AI$22+'TUSD CVA'!$AI$22)*(1 - 0.4)</f>
        <v>0</v>
      </c>
      <c r="AF22" s="78">
        <f ca="1">('TUSD BE'!$AJ$22+'TUSD BF'!$AJ$22+'TUSD CVA'!$AJ$22)*(1 - 0.4)</f>
        <v>1.8513698088234001</v>
      </c>
      <c r="AG22" s="78">
        <f ca="1">('TUSD BE'!$AK$22+'TUSD BF'!$AK$22+'TUSD CVA'!$AK$22)*(1 - 0.4)</f>
        <v>0</v>
      </c>
      <c r="AI22" s="78">
        <v>0</v>
      </c>
      <c r="AJ22" s="78">
        <v>1.3287447865241699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122.994182005797</v>
      </c>
      <c r="AV22" s="78">
        <v>0</v>
      </c>
      <c r="AW22" s="78">
        <v>0</v>
      </c>
      <c r="AX22" s="78">
        <v>271.37274657357</v>
      </c>
      <c r="AY22" s="78">
        <v>8.3915092676594192</v>
      </c>
      <c r="AZ22" s="78">
        <v>0</v>
      </c>
      <c r="BA22" s="78">
        <v>15.9284274847807</v>
      </c>
      <c r="BB22" s="78">
        <v>0</v>
      </c>
      <c r="BC22" s="78">
        <v>0</v>
      </c>
      <c r="BD22" s="78">
        <v>0</v>
      </c>
    </row>
    <row r="23" spans="1:56" ht="11.25" customHeight="1" x14ac:dyDescent="0.3">
      <c r="A23" s="125"/>
      <c r="B23" s="125"/>
      <c r="C23" s="125"/>
      <c r="D23" s="80" t="s">
        <v>31</v>
      </c>
      <c r="E23" s="80" t="s">
        <v>25</v>
      </c>
      <c r="F23" s="80" t="s">
        <v>25</v>
      </c>
      <c r="G23" s="21" t="s">
        <v>74</v>
      </c>
      <c r="H23" s="21" t="s">
        <v>67</v>
      </c>
      <c r="I23" s="21">
        <f>'MERCADO TUSD'!$U$20</f>
        <v>64.762</v>
      </c>
      <c r="J23" s="17"/>
      <c r="L23" s="78">
        <f>('TUSD BE'!$L$23+'TUSD BF'!$L$23+'TUSD CVA'!$L$23)*(1 - 0.1)</f>
        <v>0</v>
      </c>
      <c r="M23" s="78">
        <f>('TUSD BE'!$M$23+'TUSD BF'!$M$23+'TUSD CVA'!$M$23)*(1 - 0.1)</f>
        <v>2.1391564639319234</v>
      </c>
      <c r="N23" s="78">
        <f ca="1">('TUSD BE'!$N$23+'TUSD BF'!$N$23+'TUSD CVA'!$N$23)*(1 - 0.1)</f>
        <v>0</v>
      </c>
      <c r="O23" s="78">
        <f>('TUSD BE'!$O$23+'TUSD BF'!$O$23+'TUSD CVA'!$O$23)*(1 - 0.1)</f>
        <v>0</v>
      </c>
      <c r="P23" s="78">
        <v>0</v>
      </c>
      <c r="Q23" s="78">
        <f>('TUSD BE'!$Q$23+'TUSD BF'!$Q$23+'TUSD CVA'!$Q$23)*(1 - 0.1)</f>
        <v>0</v>
      </c>
      <c r="R23" s="78">
        <v>0</v>
      </c>
      <c r="S23" s="78">
        <f>('TUSD BE'!$S$23+'TUSD BF'!$S$23+'TUSD CVA'!$S$23)*(1 - 0.1)</f>
        <v>0</v>
      </c>
      <c r="T23" s="78">
        <f>('TUSD BE'!$U$23+'TUSD BF'!$U$23+'TUSD CVA'!$U$23)*(1 - 0.1)</f>
        <v>0</v>
      </c>
      <c r="U23" s="78">
        <f>('TUSD BE'!$V$23+'TUSD BF'!$V$23+'TUSD CVA'!$V$23)*(1 - 0.1)</f>
        <v>0</v>
      </c>
      <c r="V23" s="78">
        <f>('TUSD BE'!$W$23+'TUSD BF'!$W$23+'TUSD CVA'!$W$23)*(1 - 0.1)</f>
        <v>0</v>
      </c>
      <c r="W23" s="78">
        <f>('TUSD BE'!$X$23+'TUSD BF'!$X$23+'TUSD CVA'!$X$23)*(1 - 0.1)</f>
        <v>0</v>
      </c>
      <c r="X23" s="78">
        <f>('TUSD BE'!$Y$23+'TUSD BF'!$Y$23+'TUSD CVA'!$Y$23)*(1 - 0.1)</f>
        <v>347.30566584887936</v>
      </c>
      <c r="Y23" s="78">
        <f>('TUSD BE'!$Z$23+'TUSD BF'!$Z$23+'TUSD CVA'!$Z$23)*(1 - 0.1)</f>
        <v>0</v>
      </c>
      <c r="Z23" s="78">
        <f>('TUSD BE'!$AA$23+'TUSD BF'!$AA$23+'TUSD CVA'!$AA$23)*(1 - 0.1)</f>
        <v>0</v>
      </c>
      <c r="AA23" s="78">
        <f>('TUSD BE'!$AC$23+'TUSD BF'!$AC$23+'TUSD CVA'!$AC$23)*(1 - 0.1)</f>
        <v>441.99207651328067</v>
      </c>
      <c r="AB23" s="78">
        <f ca="1">('TUSD BE'!$AE$23+'TUSD BF'!$AE$23+'TUSD CVA'!$AE$23)*(1 - 0.1)</f>
        <v>0</v>
      </c>
      <c r="AC23" s="78">
        <f ca="1">('TUSD BE'!$AF$23+'TUSD BF'!$AF$23+'TUSD CVA'!$AF$23)*(1 - 0.1)</f>
        <v>0</v>
      </c>
      <c r="AD23" s="78">
        <f>('TUSD BE'!$AH$23+'TUSD BF'!$AH$23+'TUSD CVA'!$AH$23)*(1 - 0.1)</f>
        <v>20.334122043401639</v>
      </c>
      <c r="AE23" s="78">
        <f>('TUSD BE'!$AI$23+'TUSD BF'!$AI$23+'TUSD CVA'!$AI$23)*(1 - 0.1)</f>
        <v>0</v>
      </c>
      <c r="AF23" s="78">
        <f ca="1">('TUSD BE'!$AJ$23+'TUSD BF'!$AJ$23+'TUSD CVA'!$AJ$23)*(1 - 0.1)</f>
        <v>2.7770547132351004</v>
      </c>
      <c r="AG23" s="78">
        <f ca="1">('TUSD BE'!$AK$23+'TUSD BF'!$AK$23+'TUSD CVA'!$AK$23)*(1 - 0.1)</f>
        <v>0</v>
      </c>
      <c r="AI23" s="78">
        <v>0</v>
      </c>
      <c r="AJ23" s="78">
        <v>1.9931171797862499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0</v>
      </c>
      <c r="AT23" s="78">
        <v>0</v>
      </c>
      <c r="AU23" s="78">
        <v>184.491273008695</v>
      </c>
      <c r="AV23" s="78">
        <v>0</v>
      </c>
      <c r="AW23" s="78">
        <v>0</v>
      </c>
      <c r="AX23" s="78">
        <v>407.059119860355</v>
      </c>
      <c r="AY23" s="78">
        <v>12.5872639014891</v>
      </c>
      <c r="AZ23" s="78">
        <v>0</v>
      </c>
      <c r="BA23" s="78">
        <v>23.892641227171001</v>
      </c>
      <c r="BB23" s="78">
        <v>0</v>
      </c>
      <c r="BC23" s="78">
        <v>0</v>
      </c>
      <c r="BD23" s="78">
        <v>0</v>
      </c>
    </row>
    <row r="24" spans="1:56" ht="11.25" customHeight="1" x14ac:dyDescent="0.3">
      <c r="A24" s="125"/>
      <c r="B24" s="125"/>
      <c r="C24" s="125"/>
      <c r="D24" s="80" t="s">
        <v>32</v>
      </c>
      <c r="E24" s="80" t="s">
        <v>25</v>
      </c>
      <c r="F24" s="80" t="s">
        <v>25</v>
      </c>
      <c r="G24" s="21" t="s">
        <v>74</v>
      </c>
      <c r="H24" s="21" t="s">
        <v>67</v>
      </c>
      <c r="I24" s="21">
        <f>'MERCADO TUSD'!$U$21</f>
        <v>22.914000000000001</v>
      </c>
      <c r="J24" s="17"/>
      <c r="L24" s="78">
        <f>('TUSD BE'!$L$24+'TUSD BF'!$L$24+'TUSD CVA'!$L$24)*1</f>
        <v>0</v>
      </c>
      <c r="M24" s="78">
        <f>('TUSD BE'!$M$24+'TUSD BF'!$M$24+'TUSD CVA'!$M$24)*1</f>
        <v>2.3768405154799148</v>
      </c>
      <c r="N24" s="78">
        <f ca="1">('TUSD BE'!$N$24+'TUSD BF'!$N$24+'TUSD CVA'!$N$24)*1</f>
        <v>0</v>
      </c>
      <c r="O24" s="78">
        <f>('TUSD BE'!$O$24+'TUSD BF'!$O$24+'TUSD CVA'!$O$24)*1</f>
        <v>0</v>
      </c>
      <c r="P24" s="78">
        <v>0</v>
      </c>
      <c r="Q24" s="78">
        <f>('TUSD BE'!$Q$24+'TUSD BF'!$Q$24+'TUSD CVA'!$Q$24)*1</f>
        <v>0</v>
      </c>
      <c r="R24" s="78">
        <v>0</v>
      </c>
      <c r="S24" s="78">
        <f>('TUSD BE'!$S$24+'TUSD BF'!$S$24+'TUSD CVA'!$S$24)*1</f>
        <v>0</v>
      </c>
      <c r="T24" s="78">
        <f>('TUSD BE'!$U$24+'TUSD BF'!$U$24+'TUSD CVA'!$U$24)*1</f>
        <v>0</v>
      </c>
      <c r="U24" s="78">
        <f>('TUSD BE'!$V$24+'TUSD BF'!$V$24+'TUSD CVA'!$V$24)*1</f>
        <v>0</v>
      </c>
      <c r="V24" s="78">
        <f>('TUSD BE'!$W$24+'TUSD BF'!$W$24+'TUSD CVA'!$W$24)*1</f>
        <v>0</v>
      </c>
      <c r="W24" s="78">
        <f>('TUSD BE'!$X$24+'TUSD BF'!$X$24+'TUSD CVA'!$X$24)*1</f>
        <v>0</v>
      </c>
      <c r="X24" s="78">
        <f>('TUSD BE'!$Y$24+'TUSD BF'!$Y$24+'TUSD CVA'!$Y$24)*1</f>
        <v>385.89518427653263</v>
      </c>
      <c r="Y24" s="78">
        <f>('TUSD BE'!$Z$24+'TUSD BF'!$Z$24+'TUSD CVA'!$Z$24)*1</f>
        <v>0</v>
      </c>
      <c r="Z24" s="78">
        <f>('TUSD BE'!$AA$24+'TUSD BF'!$AA$24+'TUSD CVA'!$AA$24)*1</f>
        <v>0</v>
      </c>
      <c r="AA24" s="78">
        <f>('TUSD BE'!$AC$24+'TUSD BF'!$AC$24+'TUSD CVA'!$AC$24)*1</f>
        <v>491.1023072369785</v>
      </c>
      <c r="AB24" s="78">
        <f ca="1">('TUSD BE'!$AE$24+'TUSD BF'!$AE$24+'TUSD CVA'!$AE$24)*1</f>
        <v>0</v>
      </c>
      <c r="AC24" s="78">
        <f ca="1">('TUSD BE'!$AF$24+'TUSD BF'!$AF$24+'TUSD CVA'!$AF$24)*1</f>
        <v>0</v>
      </c>
      <c r="AD24" s="78">
        <f>('TUSD BE'!$AH$24+'TUSD BF'!$AH$24+'TUSD CVA'!$AH$24)*1</f>
        <v>22.593468937112931</v>
      </c>
      <c r="AE24" s="78">
        <f>('TUSD BE'!$AI$24+'TUSD BF'!$AI$24+'TUSD CVA'!$AI$24)*1</f>
        <v>0</v>
      </c>
      <c r="AF24" s="78">
        <f ca="1">('TUSD BE'!$AJ$24+'TUSD BF'!$AJ$24+'TUSD CVA'!$AJ$24)*1</f>
        <v>3.0856163480390002</v>
      </c>
      <c r="AG24" s="78">
        <f ca="1">('TUSD BE'!$AK$24+'TUSD BF'!$AK$24+'TUSD CVA'!$AK$24)*1</f>
        <v>0</v>
      </c>
      <c r="AI24" s="78">
        <v>0</v>
      </c>
      <c r="AJ24" s="78">
        <v>2.2145746442069401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204.99030334299499</v>
      </c>
      <c r="AV24" s="78">
        <v>0</v>
      </c>
      <c r="AW24" s="78">
        <v>0</v>
      </c>
      <c r="AX24" s="78">
        <v>452.28791095595</v>
      </c>
      <c r="AY24" s="78">
        <v>13.9858487794324</v>
      </c>
      <c r="AZ24" s="78">
        <v>0</v>
      </c>
      <c r="BA24" s="78">
        <v>26.5473791413011</v>
      </c>
      <c r="BB24" s="78">
        <v>0</v>
      </c>
      <c r="BC24" s="78">
        <v>0</v>
      </c>
      <c r="BD24" s="78">
        <v>0</v>
      </c>
    </row>
    <row r="25" spans="1:56" ht="11.25" customHeight="1" x14ac:dyDescent="0.3">
      <c r="A25" s="125"/>
      <c r="B25" s="125" t="s">
        <v>84</v>
      </c>
      <c r="C25" s="125" t="s">
        <v>24</v>
      </c>
      <c r="D25" s="80" t="s">
        <v>24</v>
      </c>
      <c r="E25" s="80" t="s">
        <v>25</v>
      </c>
      <c r="F25" s="80" t="s">
        <v>25</v>
      </c>
      <c r="G25" s="21" t="s">
        <v>74</v>
      </c>
      <c r="H25" s="21" t="s">
        <v>67</v>
      </c>
      <c r="I25" s="21">
        <f>'MERCADO TUSD'!$U$22</f>
        <v>0</v>
      </c>
      <c r="J25" s="17"/>
      <c r="L25" s="78">
        <f>('TUSD BE'!$L$25+'TUSD BF'!$L$25+'TUSD CVA'!$L$25)*1</f>
        <v>48.698907051497756</v>
      </c>
      <c r="M25" s="78">
        <f>('TUSD BE'!$M$25+'TUSD BF'!$M$25+'TUSD CVA'!$M$25)*1</f>
        <v>2.3768405154799148</v>
      </c>
      <c r="N25" s="78">
        <f ca="1">('TUSD BE'!$N$25+'TUSD BF'!$N$25+'TUSD CVA'!$N$25)*1</f>
        <v>0</v>
      </c>
      <c r="O25" s="78">
        <f>('TUSD BE'!$O$25+'TUSD BF'!$O$25+'TUSD CVA'!$O$25)*1</f>
        <v>0</v>
      </c>
      <c r="P25" s="78">
        <f>('TUSD BE'!$P$25+'TUSD BF'!$P$25+'TUSD CVA'!$P$25)*1</f>
        <v>0</v>
      </c>
      <c r="Q25" s="78">
        <f>('TUSD BE'!$Q$25+'TUSD BF'!$Q$25+'TUSD CVA'!$Q$25)*1</f>
        <v>79.008390922432312</v>
      </c>
      <c r="R25" s="78">
        <f>('TUSD BE'!$R$25+'TUSD BF'!$R$25+'TUSD CVA'!$R$25)*1</f>
        <v>13.71025038076683</v>
      </c>
      <c r="S25" s="78">
        <f>('TUSD BE'!$S$25+'TUSD BF'!$S$25+'TUSD CVA'!$S$25)*1</f>
        <v>0</v>
      </c>
      <c r="T25" s="78">
        <f>('TUSD BE'!$U$25+'TUSD BF'!$U$25+'TUSD CVA'!$U$25)*1</f>
        <v>0</v>
      </c>
      <c r="U25" s="78">
        <f>('TUSD BE'!$V$25+'TUSD BF'!$V$25+'TUSD CVA'!$V$25)*1</f>
        <v>0</v>
      </c>
      <c r="V25" s="78">
        <f>('TUSD BE'!$W$25+'TUSD BF'!$W$25+'TUSD CVA'!$W$25)*1</f>
        <v>0</v>
      </c>
      <c r="W25" s="78">
        <f>('TUSD BE'!$X$25+'TUSD BF'!$X$25+'TUSD CVA'!$X$25)*1</f>
        <v>0</v>
      </c>
      <c r="X25" s="78">
        <f>('TUSD BE'!$Y$25+'TUSD BF'!$Y$25+'TUSD CVA'!$Y$25)*1</f>
        <v>385.89518427653263</v>
      </c>
      <c r="Y25" s="78">
        <f>('TUSD BE'!$Z$25+'TUSD BF'!$Z$25+'TUSD CVA'!$Z$25)*1</f>
        <v>0</v>
      </c>
      <c r="Z25" s="78">
        <f>('TUSD BE'!$AA$25+'TUSD BF'!$AA$25+'TUSD CVA'!$AA$25)*1</f>
        <v>0</v>
      </c>
      <c r="AA25" s="78">
        <f>('TUSD BE'!$AC$25+'TUSD BF'!$AC$25+'TUSD CVA'!$AC$25)*1</f>
        <v>491.1023072369785</v>
      </c>
      <c r="AB25" s="78">
        <f ca="1">('TUSD BE'!$AE$25+'TUSD BF'!$AE$25+'TUSD CVA'!$AE$25)*1</f>
        <v>0</v>
      </c>
      <c r="AC25" s="78">
        <f ca="1">('TUSD BE'!$AF$25+'TUSD BF'!$AF$25+'TUSD CVA'!$AF$25)*1</f>
        <v>0</v>
      </c>
      <c r="AD25" s="78">
        <f>('TUSD BE'!$AH$25+'TUSD BF'!$AH$25+'TUSD CVA'!$AH$25)*1</f>
        <v>22.593468937112931</v>
      </c>
      <c r="AE25" s="78">
        <f>('TUSD BE'!$AI$25+'TUSD BF'!$AI$25+'TUSD CVA'!$AI$25)*1</f>
        <v>0</v>
      </c>
      <c r="AF25" s="78">
        <f ca="1">('TUSD BE'!$AJ$25+'TUSD BF'!$AJ$25+'TUSD CVA'!$AJ$25)*1</f>
        <v>3.0856163480390002</v>
      </c>
      <c r="AG25" s="78">
        <f ca="1">('TUSD BE'!$AK$25+'TUSD BF'!$AK$25+'TUSD CVA'!$AK$25)*1</f>
        <v>0</v>
      </c>
      <c r="AI25" s="78">
        <v>0</v>
      </c>
      <c r="AJ25" s="78">
        <v>2.2145746442069401</v>
      </c>
      <c r="AK25" s="78">
        <v>0</v>
      </c>
      <c r="AL25" s="78">
        <v>0</v>
      </c>
      <c r="AM25" s="78">
        <v>0</v>
      </c>
      <c r="AN25" s="78">
        <v>112.044183278074</v>
      </c>
      <c r="AO25" s="78">
        <v>9.3331335064927892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204.99030334299499</v>
      </c>
      <c r="AV25" s="78">
        <v>0</v>
      </c>
      <c r="AW25" s="78">
        <v>0</v>
      </c>
      <c r="AX25" s="78">
        <v>452.28791095595</v>
      </c>
      <c r="AY25" s="78">
        <v>16.3234232889215</v>
      </c>
      <c r="AZ25" s="78">
        <v>0</v>
      </c>
      <c r="BA25" s="78">
        <v>26.5473791413011</v>
      </c>
      <c r="BB25" s="78">
        <v>0</v>
      </c>
      <c r="BC25" s="78">
        <v>0</v>
      </c>
      <c r="BD25" s="78">
        <v>0</v>
      </c>
    </row>
    <row r="26" spans="1:56" ht="11.25" customHeight="1" x14ac:dyDescent="0.3">
      <c r="A26" s="125"/>
      <c r="B26" s="125"/>
      <c r="C26" s="125"/>
      <c r="D26" s="80" t="s">
        <v>29</v>
      </c>
      <c r="E26" s="80" t="s">
        <v>25</v>
      </c>
      <c r="F26" s="80" t="s">
        <v>25</v>
      </c>
      <c r="G26" s="21" t="s">
        <v>74</v>
      </c>
      <c r="H26" s="21" t="s">
        <v>67</v>
      </c>
      <c r="I26" s="21">
        <f>'MERCADO TUSD'!$U$23</f>
        <v>0</v>
      </c>
      <c r="J26" s="17"/>
      <c r="L26" s="78">
        <f>('TUSD BE'!$L$26+'TUSD BF'!$L$26+'TUSD CVA'!$L$26)*(1 - 0.65)</f>
        <v>0</v>
      </c>
      <c r="M26" s="78">
        <f>('TUSD BE'!$M$26+'TUSD BF'!$M$26+'TUSD CVA'!$M$26)*(1 - 0.65)</f>
        <v>0.83189418041797014</v>
      </c>
      <c r="N26" s="78">
        <f ca="1">('TUSD BE'!$N$26+'TUSD BF'!$N$26+'TUSD CVA'!$N$26)*(1 - 0.65)</f>
        <v>0</v>
      </c>
      <c r="O26" s="78">
        <f>('TUSD BE'!$O$26+'TUSD BF'!$O$26+'TUSD CVA'!$O$26)*(1 - 0.65)</f>
        <v>0</v>
      </c>
      <c r="P26" s="78">
        <v>0</v>
      </c>
      <c r="Q26" s="78">
        <f>('TUSD BE'!$Q$26+'TUSD BF'!$Q$26+'TUSD CVA'!$Q$26)*(1 - 0.65)</f>
        <v>0</v>
      </c>
      <c r="R26" s="78">
        <v>0</v>
      </c>
      <c r="S26" s="78">
        <f>('TUSD BE'!$S$26+'TUSD BF'!$S$26+'TUSD CVA'!$S$26)*(1 - 0.65)</f>
        <v>0</v>
      </c>
      <c r="T26" s="78">
        <f>('TUSD BE'!$U$26+'TUSD BF'!$U$26+'TUSD CVA'!$U$26)*(1 - 0.65)</f>
        <v>0</v>
      </c>
      <c r="U26" s="78">
        <f>('TUSD BE'!$V$26+'TUSD BF'!$V$26+'TUSD CVA'!$V$26)*(1 - 0.65)</f>
        <v>0</v>
      </c>
      <c r="V26" s="78">
        <f>('TUSD BE'!$W$26+'TUSD BF'!$W$26+'TUSD CVA'!$W$26)*(1 - 0.65)</f>
        <v>0</v>
      </c>
      <c r="W26" s="78">
        <f>('TUSD BE'!$X$26+'TUSD BF'!$X$26+'TUSD CVA'!$X$26)*(1 - 0.65)</f>
        <v>0</v>
      </c>
      <c r="X26" s="78">
        <f>('TUSD BE'!$Y$26+'TUSD BF'!$Y$26+'TUSD CVA'!$Y$26)*(1 - 0.65)</f>
        <v>135.0633144967864</v>
      </c>
      <c r="Y26" s="78">
        <f>('TUSD BE'!$Z$26+'TUSD BF'!$Z$26+'TUSD CVA'!$Z$26)*(1 - 0.65)</f>
        <v>0</v>
      </c>
      <c r="Z26" s="78">
        <f>('TUSD BE'!$AA$26+'TUSD BF'!$AA$26+'TUSD CVA'!$AA$26)*(1 - 0.65)</f>
        <v>0</v>
      </c>
      <c r="AA26" s="78">
        <f>('TUSD BE'!$AC$26+'TUSD BF'!$AC$26+'TUSD CVA'!$AC$26)*(1 - 0.65)</f>
        <v>171.88580753294247</v>
      </c>
      <c r="AB26" s="78">
        <f ca="1">('TUSD BE'!$AE$26+'TUSD BF'!$AE$26+'TUSD CVA'!$AE$26)*(1 - 0.65)</f>
        <v>0</v>
      </c>
      <c r="AC26" s="78">
        <f ca="1">('TUSD BE'!$AF$26+'TUSD BF'!$AF$26+'TUSD CVA'!$AF$26)*(1 - 0.65)</f>
        <v>0</v>
      </c>
      <c r="AD26" s="78">
        <f>('TUSD BE'!$AH$26+'TUSD BF'!$AH$26+'TUSD CVA'!$AH$26)*(1 - 0.65)</f>
        <v>7.9077141279895251</v>
      </c>
      <c r="AE26" s="78">
        <f>('TUSD BE'!$AI$26+'TUSD BF'!$AI$26+'TUSD CVA'!$AI$26)*(1 - 0.65)</f>
        <v>0</v>
      </c>
      <c r="AF26" s="78">
        <f ca="1">('TUSD BE'!$AJ$26+'TUSD BF'!$AJ$26+'TUSD CVA'!$AJ$26)*(1 - 0.65)</f>
        <v>1.07996572181365</v>
      </c>
      <c r="AG26" s="78">
        <f ca="1">('TUSD BE'!$AK$26+'TUSD BF'!$AK$26+'TUSD CVA'!$AK$26)*(1 - 0.65)</f>
        <v>0</v>
      </c>
      <c r="AI26" s="78">
        <v>0</v>
      </c>
      <c r="AJ26" s="78">
        <v>0.77510112547243004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71.746606170048196</v>
      </c>
      <c r="AV26" s="78">
        <v>0</v>
      </c>
      <c r="AW26" s="78">
        <v>0</v>
      </c>
      <c r="AX26" s="78">
        <v>158.30076883458301</v>
      </c>
      <c r="AY26" s="78">
        <v>4.8950470728013302</v>
      </c>
      <c r="AZ26" s="78">
        <v>0</v>
      </c>
      <c r="BA26" s="78">
        <v>9.2915826994553896</v>
      </c>
      <c r="BB26" s="78">
        <v>0</v>
      </c>
      <c r="BC26" s="78">
        <v>0</v>
      </c>
      <c r="BD26" s="78">
        <v>0</v>
      </c>
    </row>
    <row r="27" spans="1:56" ht="11.25" customHeight="1" x14ac:dyDescent="0.3">
      <c r="A27" s="125"/>
      <c r="B27" s="125"/>
      <c r="C27" s="125"/>
      <c r="D27" s="80" t="s">
        <v>30</v>
      </c>
      <c r="E27" s="80" t="s">
        <v>25</v>
      </c>
      <c r="F27" s="80" t="s">
        <v>25</v>
      </c>
      <c r="G27" s="21" t="s">
        <v>74</v>
      </c>
      <c r="H27" s="21" t="s">
        <v>67</v>
      </c>
      <c r="I27" s="21">
        <f>'MERCADO TUSD'!$U$24</f>
        <v>0</v>
      </c>
      <c r="J27" s="17"/>
      <c r="L27" s="78">
        <f>('TUSD BE'!$L$27+'TUSD BF'!$L$27+'TUSD CVA'!$L$27)*(1 - 0.4)</f>
        <v>0</v>
      </c>
      <c r="M27" s="78">
        <f>('TUSD BE'!$M$27+'TUSD BF'!$M$27+'TUSD CVA'!$M$27)*(1 - 0.4)</f>
        <v>1.4261043092879488</v>
      </c>
      <c r="N27" s="78">
        <f ca="1">('TUSD BE'!$N$27+'TUSD BF'!$N$27+'TUSD CVA'!$N$27)*(1 - 0.4)</f>
        <v>0</v>
      </c>
      <c r="O27" s="78">
        <f>('TUSD BE'!$O$27+'TUSD BF'!$O$27+'TUSD CVA'!$O$27)*(1 - 0.4)</f>
        <v>0</v>
      </c>
      <c r="P27" s="78">
        <v>0</v>
      </c>
      <c r="Q27" s="78">
        <f>('TUSD BE'!$Q$27+'TUSD BF'!$Q$27+'TUSD CVA'!$Q$27)*(1 - 0.4)</f>
        <v>0</v>
      </c>
      <c r="R27" s="78">
        <v>0</v>
      </c>
      <c r="S27" s="78">
        <f>('TUSD BE'!$S$27+'TUSD BF'!$S$27+'TUSD CVA'!$S$27)*(1 - 0.4)</f>
        <v>0</v>
      </c>
      <c r="T27" s="78">
        <f>('TUSD BE'!$U$27+'TUSD BF'!$U$27+'TUSD CVA'!$U$27)*(1 - 0.4)</f>
        <v>0</v>
      </c>
      <c r="U27" s="78">
        <f>('TUSD BE'!$V$27+'TUSD BF'!$V$27+'TUSD CVA'!$V$27)*(1 - 0.4)</f>
        <v>0</v>
      </c>
      <c r="V27" s="78">
        <f>('TUSD BE'!$W$27+'TUSD BF'!$W$27+'TUSD CVA'!$W$27)*(1 - 0.4)</f>
        <v>0</v>
      </c>
      <c r="W27" s="78">
        <f>('TUSD BE'!$X$27+'TUSD BF'!$X$27+'TUSD CVA'!$X$27)*(1 - 0.4)</f>
        <v>0</v>
      </c>
      <c r="X27" s="78">
        <f>('TUSD BE'!$Y$27+'TUSD BF'!$Y$27+'TUSD CVA'!$Y$27)*(1 - 0.4)</f>
        <v>231.53711056591956</v>
      </c>
      <c r="Y27" s="78">
        <f>('TUSD BE'!$Z$27+'TUSD BF'!$Z$27+'TUSD CVA'!$Z$27)*(1 - 0.4)</f>
        <v>0</v>
      </c>
      <c r="Z27" s="78">
        <f>('TUSD BE'!$AA$27+'TUSD BF'!$AA$27+'TUSD CVA'!$AA$27)*(1 - 0.4)</f>
        <v>0</v>
      </c>
      <c r="AA27" s="78">
        <f>('TUSD BE'!$AC$27+'TUSD BF'!$AC$27+'TUSD CVA'!$AC$27)*(1 - 0.4)</f>
        <v>294.66138434218709</v>
      </c>
      <c r="AB27" s="78">
        <f ca="1">('TUSD BE'!$AE$27+'TUSD BF'!$AE$27+'TUSD CVA'!$AE$27)*(1 - 0.4)</f>
        <v>0</v>
      </c>
      <c r="AC27" s="78">
        <f ca="1">('TUSD BE'!$AF$27+'TUSD BF'!$AF$27+'TUSD CVA'!$AF$27)*(1 - 0.4)</f>
        <v>0</v>
      </c>
      <c r="AD27" s="78">
        <f>('TUSD BE'!$AH$27+'TUSD BF'!$AH$27+'TUSD CVA'!$AH$27)*(1 - 0.4)</f>
        <v>13.556081362267758</v>
      </c>
      <c r="AE27" s="78">
        <f>('TUSD BE'!$AI$27+'TUSD BF'!$AI$27+'TUSD CVA'!$AI$27)*(1 - 0.4)</f>
        <v>0</v>
      </c>
      <c r="AF27" s="78">
        <f ca="1">('TUSD BE'!$AJ$27+'TUSD BF'!$AJ$27+'TUSD CVA'!$AJ$27)*(1 - 0.4)</f>
        <v>1.8513698088234001</v>
      </c>
      <c r="AG27" s="78">
        <f ca="1">('TUSD BE'!$AK$27+'TUSD BF'!$AK$27+'TUSD CVA'!$AK$27)*(1 - 0.4)</f>
        <v>0</v>
      </c>
      <c r="AI27" s="78">
        <v>0</v>
      </c>
      <c r="AJ27" s="78">
        <v>1.3287447865241699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122.994182005797</v>
      </c>
      <c r="AV27" s="78">
        <v>0</v>
      </c>
      <c r="AW27" s="78">
        <v>0</v>
      </c>
      <c r="AX27" s="78">
        <v>271.37274657357</v>
      </c>
      <c r="AY27" s="78">
        <v>8.3915092676594192</v>
      </c>
      <c r="AZ27" s="78">
        <v>0</v>
      </c>
      <c r="BA27" s="78">
        <v>15.9284274847807</v>
      </c>
      <c r="BB27" s="78">
        <v>0</v>
      </c>
      <c r="BC27" s="78">
        <v>0</v>
      </c>
      <c r="BD27" s="78">
        <v>0</v>
      </c>
    </row>
    <row r="28" spans="1:56" ht="11.25" customHeight="1" x14ac:dyDescent="0.3">
      <c r="A28" s="125"/>
      <c r="B28" s="125"/>
      <c r="C28" s="125"/>
      <c r="D28" s="80" t="s">
        <v>31</v>
      </c>
      <c r="E28" s="80" t="s">
        <v>25</v>
      </c>
      <c r="F28" s="80" t="s">
        <v>25</v>
      </c>
      <c r="G28" s="21" t="s">
        <v>74</v>
      </c>
      <c r="H28" s="21" t="s">
        <v>67</v>
      </c>
      <c r="I28" s="21">
        <f>'MERCADO TUSD'!$U$25</f>
        <v>0</v>
      </c>
      <c r="J28" s="17"/>
      <c r="L28" s="78">
        <f>('TUSD BE'!$L$28+'TUSD BF'!$L$28+'TUSD CVA'!$L$28)*(1 - 0.1)</f>
        <v>0</v>
      </c>
      <c r="M28" s="78">
        <f>('TUSD BE'!$M$28+'TUSD BF'!$M$28+'TUSD CVA'!$M$28)*(1 - 0.1)</f>
        <v>2.1391564639319234</v>
      </c>
      <c r="N28" s="78">
        <f ca="1">('TUSD BE'!$N$28+'TUSD BF'!$N$28+'TUSD CVA'!$N$28)*(1 - 0.1)</f>
        <v>0</v>
      </c>
      <c r="O28" s="78">
        <f>('TUSD BE'!$O$28+'TUSD BF'!$O$28+'TUSD CVA'!$O$28)*(1 - 0.1)</f>
        <v>0</v>
      </c>
      <c r="P28" s="78">
        <v>0</v>
      </c>
      <c r="Q28" s="78">
        <f>('TUSD BE'!$Q$28+'TUSD BF'!$Q$28+'TUSD CVA'!$Q$28)*(1 - 0.1)</f>
        <v>0</v>
      </c>
      <c r="R28" s="78">
        <v>0</v>
      </c>
      <c r="S28" s="78">
        <f>('TUSD BE'!$S$28+'TUSD BF'!$S$28+'TUSD CVA'!$S$28)*(1 - 0.1)</f>
        <v>0</v>
      </c>
      <c r="T28" s="78">
        <f>('TUSD BE'!$U$28+'TUSD BF'!$U$28+'TUSD CVA'!$U$28)*(1 - 0.1)</f>
        <v>0</v>
      </c>
      <c r="U28" s="78">
        <f>('TUSD BE'!$V$28+'TUSD BF'!$V$28+'TUSD CVA'!$V$28)*(1 - 0.1)</f>
        <v>0</v>
      </c>
      <c r="V28" s="78">
        <f>('TUSD BE'!$W$28+'TUSD BF'!$W$28+'TUSD CVA'!$W$28)*(1 - 0.1)</f>
        <v>0</v>
      </c>
      <c r="W28" s="78">
        <f>('TUSD BE'!$X$28+'TUSD BF'!$X$28+'TUSD CVA'!$X$28)*(1 - 0.1)</f>
        <v>0</v>
      </c>
      <c r="X28" s="78">
        <f>('TUSD BE'!$Y$28+'TUSD BF'!$Y$28+'TUSD CVA'!$Y$28)*(1 - 0.1)</f>
        <v>347.30566584887936</v>
      </c>
      <c r="Y28" s="78">
        <f>('TUSD BE'!$Z$28+'TUSD BF'!$Z$28+'TUSD CVA'!$Z$28)*(1 - 0.1)</f>
        <v>0</v>
      </c>
      <c r="Z28" s="78">
        <f>('TUSD BE'!$AA$28+'TUSD BF'!$AA$28+'TUSD CVA'!$AA$28)*(1 - 0.1)</f>
        <v>0</v>
      </c>
      <c r="AA28" s="78">
        <f>('TUSD BE'!$AC$28+'TUSD BF'!$AC$28+'TUSD CVA'!$AC$28)*(1 - 0.1)</f>
        <v>441.99207651328067</v>
      </c>
      <c r="AB28" s="78">
        <f ca="1">('TUSD BE'!$AE$28+'TUSD BF'!$AE$28+'TUSD CVA'!$AE$28)*(1 - 0.1)</f>
        <v>0</v>
      </c>
      <c r="AC28" s="78">
        <f ca="1">('TUSD BE'!$AF$28+'TUSD BF'!$AF$28+'TUSD CVA'!$AF$28)*(1 - 0.1)</f>
        <v>0</v>
      </c>
      <c r="AD28" s="78">
        <f>('TUSD BE'!$AH$28+'TUSD BF'!$AH$28+'TUSD CVA'!$AH$28)*(1 - 0.1)</f>
        <v>20.334122043401639</v>
      </c>
      <c r="AE28" s="78">
        <f>('TUSD BE'!$AI$28+'TUSD BF'!$AI$28+'TUSD CVA'!$AI$28)*(1 - 0.1)</f>
        <v>0</v>
      </c>
      <c r="AF28" s="78">
        <f ca="1">('TUSD BE'!$AJ$28+'TUSD BF'!$AJ$28+'TUSD CVA'!$AJ$28)*(1 - 0.1)</f>
        <v>2.7770547132351004</v>
      </c>
      <c r="AG28" s="78">
        <f ca="1">('TUSD BE'!$AK$28+'TUSD BF'!$AK$28+'TUSD CVA'!$AK$28)*(1 - 0.1)</f>
        <v>0</v>
      </c>
      <c r="AI28" s="78">
        <v>0</v>
      </c>
      <c r="AJ28" s="78">
        <v>1.9931171797862499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184.491273008695</v>
      </c>
      <c r="AV28" s="78">
        <v>0</v>
      </c>
      <c r="AW28" s="78">
        <v>0</v>
      </c>
      <c r="AX28" s="78">
        <v>407.059119860355</v>
      </c>
      <c r="AY28" s="78">
        <v>12.5872639014891</v>
      </c>
      <c r="AZ28" s="78">
        <v>0</v>
      </c>
      <c r="BA28" s="78">
        <v>23.892641227171001</v>
      </c>
      <c r="BB28" s="78">
        <v>0</v>
      </c>
      <c r="BC28" s="78">
        <v>0</v>
      </c>
      <c r="BD28" s="78">
        <v>0</v>
      </c>
    </row>
    <row r="29" spans="1:56" ht="11.25" customHeight="1" x14ac:dyDescent="0.3">
      <c r="A29" s="125"/>
      <c r="B29" s="125"/>
      <c r="C29" s="125"/>
      <c r="D29" s="80" t="s">
        <v>32</v>
      </c>
      <c r="E29" s="80" t="s">
        <v>25</v>
      </c>
      <c r="F29" s="80" t="s">
        <v>25</v>
      </c>
      <c r="G29" s="21" t="s">
        <v>74</v>
      </c>
      <c r="H29" s="21" t="s">
        <v>67</v>
      </c>
      <c r="I29" s="21">
        <f>'MERCADO TUSD'!$U$26</f>
        <v>0</v>
      </c>
      <c r="J29" s="17"/>
      <c r="L29" s="78">
        <f>('TUSD BE'!$L$29+'TUSD BF'!$L$29+'TUSD CVA'!$L$29)*1</f>
        <v>0</v>
      </c>
      <c r="M29" s="78">
        <f>('TUSD BE'!$M$29+'TUSD BF'!$M$29+'TUSD CVA'!$M$29)*1</f>
        <v>2.3768405154799148</v>
      </c>
      <c r="N29" s="78">
        <f ca="1">('TUSD BE'!$N$29+'TUSD BF'!$N$29+'TUSD CVA'!$N$29)*1</f>
        <v>0</v>
      </c>
      <c r="O29" s="78">
        <f>('TUSD BE'!$O$29+'TUSD BF'!$O$29+'TUSD CVA'!$O$29)*1</f>
        <v>0</v>
      </c>
      <c r="P29" s="78">
        <v>0</v>
      </c>
      <c r="Q29" s="78">
        <f>('TUSD BE'!$Q$29+'TUSD BF'!$Q$29+'TUSD CVA'!$Q$29)*1</f>
        <v>0</v>
      </c>
      <c r="R29" s="78">
        <v>0</v>
      </c>
      <c r="S29" s="78">
        <f>('TUSD BE'!$S$29+'TUSD BF'!$S$29+'TUSD CVA'!$S$29)*1</f>
        <v>0</v>
      </c>
      <c r="T29" s="78">
        <f>('TUSD BE'!$U$29+'TUSD BF'!$U$29+'TUSD CVA'!$U$29)*1</f>
        <v>0</v>
      </c>
      <c r="U29" s="78">
        <f>('TUSD BE'!$V$29+'TUSD BF'!$V$29+'TUSD CVA'!$V$29)*1</f>
        <v>0</v>
      </c>
      <c r="V29" s="78">
        <f>('TUSD BE'!$W$29+'TUSD BF'!$W$29+'TUSD CVA'!$W$29)*1</f>
        <v>0</v>
      </c>
      <c r="W29" s="78">
        <f>('TUSD BE'!$X$29+'TUSD BF'!$X$29+'TUSD CVA'!$X$29)*1</f>
        <v>0</v>
      </c>
      <c r="X29" s="78">
        <f>('TUSD BE'!$Y$29+'TUSD BF'!$Y$29+'TUSD CVA'!$Y$29)*1</f>
        <v>385.89518427653263</v>
      </c>
      <c r="Y29" s="78">
        <f>('TUSD BE'!$Z$29+'TUSD BF'!$Z$29+'TUSD CVA'!$Z$29)*1</f>
        <v>0</v>
      </c>
      <c r="Z29" s="78">
        <f>('TUSD BE'!$AA$29+'TUSD BF'!$AA$29+'TUSD CVA'!$AA$29)*1</f>
        <v>0</v>
      </c>
      <c r="AA29" s="78">
        <f>('TUSD BE'!$AC$29+'TUSD BF'!$AC$29+'TUSD CVA'!$AC$29)*1</f>
        <v>491.1023072369785</v>
      </c>
      <c r="AB29" s="78">
        <f ca="1">('TUSD BE'!$AE$29+'TUSD BF'!$AE$29+'TUSD CVA'!$AE$29)*1</f>
        <v>0</v>
      </c>
      <c r="AC29" s="78">
        <f ca="1">('TUSD BE'!$AF$29+'TUSD BF'!$AF$29+'TUSD CVA'!$AF$29)*1</f>
        <v>0</v>
      </c>
      <c r="AD29" s="78">
        <f>('TUSD BE'!$AH$29+'TUSD BF'!$AH$29+'TUSD CVA'!$AH$29)*1</f>
        <v>22.593468937112931</v>
      </c>
      <c r="AE29" s="78">
        <f>('TUSD BE'!$AI$29+'TUSD BF'!$AI$29+'TUSD CVA'!$AI$29)*1</f>
        <v>0</v>
      </c>
      <c r="AF29" s="78">
        <f ca="1">('TUSD BE'!$AJ$29+'TUSD BF'!$AJ$29+'TUSD CVA'!$AJ$29)*1</f>
        <v>3.0856163480390002</v>
      </c>
      <c r="AG29" s="78">
        <f ca="1">('TUSD BE'!$AK$29+'TUSD BF'!$AK$29+'TUSD CVA'!$AK$29)*1</f>
        <v>0</v>
      </c>
      <c r="AI29" s="78">
        <v>0</v>
      </c>
      <c r="AJ29" s="78">
        <v>2.2145746442069401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204.99030334299499</v>
      </c>
      <c r="AV29" s="78">
        <v>0</v>
      </c>
      <c r="AW29" s="78">
        <v>0</v>
      </c>
      <c r="AX29" s="78">
        <v>452.28791095595</v>
      </c>
      <c r="AY29" s="78">
        <v>13.9858487794324</v>
      </c>
      <c r="AZ29" s="78">
        <v>0</v>
      </c>
      <c r="BA29" s="78">
        <v>26.5473791413011</v>
      </c>
      <c r="BB29" s="78">
        <v>0</v>
      </c>
      <c r="BC29" s="78">
        <v>0</v>
      </c>
      <c r="BD29" s="78">
        <v>0</v>
      </c>
    </row>
    <row r="30" spans="1:56" ht="11.25" customHeight="1" x14ac:dyDescent="0.3">
      <c r="A30" s="125" t="s">
        <v>40</v>
      </c>
      <c r="B30" s="125" t="s">
        <v>82</v>
      </c>
      <c r="C30" s="125" t="s">
        <v>41</v>
      </c>
      <c r="D30" s="125" t="s">
        <v>25</v>
      </c>
      <c r="E30" s="125" t="s">
        <v>25</v>
      </c>
      <c r="F30" s="125" t="s">
        <v>25</v>
      </c>
      <c r="G30" s="21" t="s">
        <v>68</v>
      </c>
      <c r="H30" s="21" t="s">
        <v>67</v>
      </c>
      <c r="I30" s="21">
        <f>'MERCADO TUSD'!$U$27</f>
        <v>0</v>
      </c>
      <c r="J30" s="17"/>
      <c r="L30" s="78">
        <f>('TUSD BE'!$L$30+'TUSD BF'!$L$30+'TUSD CVA'!$L$30)*(1 - CUSTOS!$M$38)</f>
        <v>45.77697262840789</v>
      </c>
      <c r="M30" s="78">
        <f>('TUSD BE'!$M$30+'TUSD BF'!$M$30+'TUSD CVA'!$M$30)*(1 - CUSTOS!$M$38)</f>
        <v>2.2342300845511196</v>
      </c>
      <c r="N30" s="78">
        <f ca="1">('TUSD BE'!$N$30+'TUSD BF'!$N$30+'TUSD CVA'!$N$30)*(1 - CUSTOS!$M$38)</f>
        <v>0</v>
      </c>
      <c r="O30" s="78">
        <f>('TUSD BE'!$O$30+'TUSD BF'!$O$30+'TUSD CVA'!$O$30)*(1 - CUSTOS!$M$38)</f>
        <v>0</v>
      </c>
      <c r="P30" s="78">
        <f>('TUSD BE'!$P$30+'TUSD BF'!$P$30+'TUSD CVA'!$P$30)*(1 - CUSTOS!$M$38)</f>
        <v>0</v>
      </c>
      <c r="Q30" s="78">
        <f>('TUSD BE'!$Q$30+'TUSD BF'!$Q$30+'TUSD CVA'!$Q$30)*(1 - CUSTOS!$M$38)</f>
        <v>74.267887467086368</v>
      </c>
      <c r="R30" s="78">
        <f>('TUSD BE'!$R$30+'TUSD BF'!$R$30+'TUSD CVA'!$R$30)*(1 - CUSTOS!$M$38)</f>
        <v>12.88763535792082</v>
      </c>
      <c r="S30" s="78">
        <f>('TUSD BE'!$S$30+'TUSD BF'!$S$30+'TUSD CVA'!$S$30)*(1 - CUSTOS!$M$38)</f>
        <v>0</v>
      </c>
      <c r="T30" s="78">
        <f>('TUSD BE'!$U$30+'TUSD BF'!$U$30+'TUSD CVA'!$U$30)*(1 - CUSTOS!$M$38)</f>
        <v>0</v>
      </c>
      <c r="U30" s="78">
        <f>('TUSD BE'!$V$30+'TUSD BF'!$V$30+'TUSD CVA'!$V$30)*(1 - CUSTOS!$M$38)</f>
        <v>0</v>
      </c>
      <c r="V30" s="78">
        <f>('TUSD BE'!$W$30+'TUSD BF'!$W$30+'TUSD CVA'!$W$30)*(1 - CUSTOS!$M$38)</f>
        <v>0</v>
      </c>
      <c r="W30" s="78">
        <f>('TUSD BE'!$X$30+'TUSD BF'!$X$30+'TUSD CVA'!$X$30)*(1 - CUSTOS!$M$38)</f>
        <v>0</v>
      </c>
      <c r="X30" s="78">
        <f>('TUSD BE'!$Y$30+'TUSD BF'!$Y$30+'TUSD CVA'!$Y$30)*(1 - CUSTOS!$M$38)</f>
        <v>1088.2229914515708</v>
      </c>
      <c r="Y30" s="78">
        <f>('TUSD BE'!$Z$30+'TUSD BF'!$Z$30+'TUSD CVA'!$Z$30)*(1 - CUSTOS!$M$38)</f>
        <v>0</v>
      </c>
      <c r="Z30" s="78">
        <f>('TUSD BE'!$AA$30+'TUSD BF'!$AA$30+'TUSD CVA'!$AA$30)*(1 - CUSTOS!$M$38)</f>
        <v>0</v>
      </c>
      <c r="AA30" s="78">
        <f>('TUSD BE'!$AC$30+'TUSD BF'!$AC$30+'TUSD CVA'!$AC$30)*(1 - CUSTOS!$M$38)</f>
        <v>1384.9086071500942</v>
      </c>
      <c r="AB30" s="78">
        <f ca="1">('TUSD BE'!$AE$30+'TUSD BF'!$AE$30+'TUSD CVA'!$AE$30)*(1 - CUSTOS!$M$38)</f>
        <v>0</v>
      </c>
      <c r="AC30" s="78">
        <f ca="1">('TUSD BE'!$AF$30+'TUSD BF'!$AF$30+'TUSD CVA'!$AF$30)*(1 - CUSTOS!$M$38)</f>
        <v>0</v>
      </c>
      <c r="AD30" s="78">
        <f>('TUSD BE'!$AH$30+'TUSD BF'!$AH$30+'TUSD CVA'!$AH$30)*(1 - CUSTOS!$M$38)</f>
        <v>21.237860800886153</v>
      </c>
      <c r="AE30" s="78">
        <f>('TUSD BE'!$AI$30+'TUSD BF'!$AI$30+'TUSD CVA'!$AI$30)*(1 - CUSTOS!$M$38)</f>
        <v>0</v>
      </c>
      <c r="AF30" s="78">
        <f ca="1">('TUSD BE'!$AJ$30+'TUSD BF'!$AJ$30+'TUSD CVA'!$AJ$30)*(1 - CUSTOS!$M$38)</f>
        <v>2.90047936715666</v>
      </c>
      <c r="AG30" s="78">
        <f ca="1">('TUSD BE'!$AK$30+'TUSD BF'!$AK$30+'TUSD CVA'!$AK$30)*(1 - CUSTOS!$M$38)</f>
        <v>0</v>
      </c>
      <c r="AI30" s="78">
        <v>0</v>
      </c>
      <c r="AJ30" s="78">
        <v>1.9488256869021101</v>
      </c>
      <c r="AK30" s="78">
        <v>0</v>
      </c>
      <c r="AL30" s="78">
        <v>0</v>
      </c>
      <c r="AM30" s="78">
        <v>0</v>
      </c>
      <c r="AN30" s="78">
        <v>98.598881284704802</v>
      </c>
      <c r="AO30" s="78">
        <v>8.2131574857136602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541.17375366099805</v>
      </c>
      <c r="AV30" s="78">
        <v>0</v>
      </c>
      <c r="AW30" s="78">
        <v>0</v>
      </c>
      <c r="AX30" s="78">
        <v>1194.0400849237101</v>
      </c>
      <c r="AY30" s="78">
        <v>38.255943933254997</v>
      </c>
      <c r="AZ30" s="78">
        <v>0</v>
      </c>
      <c r="BA30" s="78">
        <v>23.361693644344999</v>
      </c>
      <c r="BB30" s="78">
        <v>0</v>
      </c>
      <c r="BC30" s="78">
        <v>0</v>
      </c>
      <c r="BD30" s="78">
        <v>0</v>
      </c>
    </row>
    <row r="31" spans="1:56" ht="11.25" customHeight="1" x14ac:dyDescent="0.3">
      <c r="A31" s="125"/>
      <c r="B31" s="125"/>
      <c r="C31" s="125"/>
      <c r="D31" s="125"/>
      <c r="E31" s="125"/>
      <c r="F31" s="125"/>
      <c r="G31" s="21" t="s">
        <v>80</v>
      </c>
      <c r="H31" s="21" t="s">
        <v>67</v>
      </c>
      <c r="I31" s="21">
        <f>'MERCADO TUSD'!$U$28</f>
        <v>0</v>
      </c>
      <c r="J31" s="17"/>
      <c r="L31" s="78">
        <f>('TUSD BE'!$L$31+'TUSD BF'!$L$31+'TUSD CVA'!$L$31)*(1 - CUSTOS!$M$38)</f>
        <v>45.77697262840789</v>
      </c>
      <c r="M31" s="78">
        <f>('TUSD BE'!$M$31+'TUSD BF'!$M$31+'TUSD CVA'!$M$31)*(1 - CUSTOS!$M$38)</f>
        <v>2.2342300845511196</v>
      </c>
      <c r="N31" s="78">
        <f ca="1">('TUSD BE'!$N$31+'TUSD BF'!$N$31+'TUSD CVA'!$N$31)*(1 - CUSTOS!$M$38)</f>
        <v>0</v>
      </c>
      <c r="O31" s="78">
        <f>('TUSD BE'!$O$31+'TUSD BF'!$O$31+'TUSD CVA'!$O$31)*(1 - CUSTOS!$M$38)</f>
        <v>0</v>
      </c>
      <c r="P31" s="78">
        <f>('TUSD BE'!$P$31+'TUSD BF'!$P$31+'TUSD CVA'!$P$31)*(1 - CUSTOS!$M$38)</f>
        <v>0</v>
      </c>
      <c r="Q31" s="78">
        <f>('TUSD BE'!$Q$31+'TUSD BF'!$Q$31+'TUSD CVA'!$Q$31)*(1 - CUSTOS!$M$38)</f>
        <v>74.267887467086368</v>
      </c>
      <c r="R31" s="78">
        <f>('TUSD BE'!$R$31+'TUSD BF'!$R$31+'TUSD CVA'!$R$31)*(1 - CUSTOS!$M$38)</f>
        <v>12.88763535792082</v>
      </c>
      <c r="S31" s="78">
        <f>('TUSD BE'!$S$31+'TUSD BF'!$S$31+'TUSD CVA'!$S$31)*(1 - CUSTOS!$M$38)</f>
        <v>0</v>
      </c>
      <c r="T31" s="78">
        <f>('TUSD BE'!$U$31+'TUSD BF'!$U$31+'TUSD CVA'!$U$31)*(1 - CUSTOS!$M$38)</f>
        <v>0</v>
      </c>
      <c r="U31" s="78">
        <f>('TUSD BE'!$V$31+'TUSD BF'!$V$31+'TUSD CVA'!$V$31)*(1 - CUSTOS!$M$38)</f>
        <v>0</v>
      </c>
      <c r="V31" s="78">
        <f>('TUSD BE'!$W$31+'TUSD BF'!$W$31+'TUSD CVA'!$W$31)*(1 - CUSTOS!$M$38)</f>
        <v>0</v>
      </c>
      <c r="W31" s="78">
        <f>('TUSD BE'!$X$31+'TUSD BF'!$X$31+'TUSD CVA'!$X$31)*(1 - CUSTOS!$M$38)</f>
        <v>0</v>
      </c>
      <c r="X31" s="78">
        <f>('TUSD BE'!$Y$31+'TUSD BF'!$Y$31+'TUSD CVA'!$Y$31)*(1 - CUSTOS!$M$38)</f>
        <v>652.93168112273054</v>
      </c>
      <c r="Y31" s="78">
        <f>('TUSD BE'!$Z$31+'TUSD BF'!$Z$31+'TUSD CVA'!$Z$31)*(1 - CUSTOS!$M$38)</f>
        <v>0</v>
      </c>
      <c r="Z31" s="78">
        <f>('TUSD BE'!$AA$31+'TUSD BF'!$AA$31+'TUSD CVA'!$AA$31)*(1 - CUSTOS!$M$38)</f>
        <v>0</v>
      </c>
      <c r="AA31" s="78">
        <f>('TUSD BE'!$AC$31+'TUSD BF'!$AC$31+'TUSD CVA'!$AC$31)*(1 - CUSTOS!$M$38)</f>
        <v>830.94518443841935</v>
      </c>
      <c r="AB31" s="78">
        <f ca="1">('TUSD BE'!$AE$31+'TUSD BF'!$AE$31+'TUSD CVA'!$AE$31)*(1 - CUSTOS!$M$38)</f>
        <v>0</v>
      </c>
      <c r="AC31" s="78">
        <f ca="1">('TUSD BE'!$AF$31+'TUSD BF'!$AF$31+'TUSD CVA'!$AF$31)*(1 - CUSTOS!$M$38)</f>
        <v>0</v>
      </c>
      <c r="AD31" s="78">
        <f>('TUSD BE'!$AH$31+'TUSD BF'!$AH$31+'TUSD CVA'!$AH$31)*(1 - CUSTOS!$M$38)</f>
        <v>21.237860800886153</v>
      </c>
      <c r="AE31" s="78">
        <f>('TUSD BE'!$AI$31+'TUSD BF'!$AI$31+'TUSD CVA'!$AI$31)*(1 - CUSTOS!$M$38)</f>
        <v>0</v>
      </c>
      <c r="AF31" s="78">
        <f ca="1">('TUSD BE'!$AJ$31+'TUSD BF'!$AJ$31+'TUSD CVA'!$AJ$31)*(1 - CUSTOS!$M$38)</f>
        <v>2.90047936715666</v>
      </c>
      <c r="AG31" s="78">
        <f ca="1">('TUSD BE'!$AK$31+'TUSD BF'!$AK$31+'TUSD CVA'!$AK$31)*(1 - CUSTOS!$M$38)</f>
        <v>0</v>
      </c>
      <c r="AI31" s="78">
        <v>0</v>
      </c>
      <c r="AJ31" s="78">
        <v>1.9488256869021101</v>
      </c>
      <c r="AK31" s="78">
        <v>0</v>
      </c>
      <c r="AL31" s="78">
        <v>0</v>
      </c>
      <c r="AM31" s="78">
        <v>0</v>
      </c>
      <c r="AN31" s="78">
        <v>98.598881284704802</v>
      </c>
      <c r="AO31" s="78">
        <v>8.2131574857136602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324.70323522380102</v>
      </c>
      <c r="AV31" s="78">
        <v>0</v>
      </c>
      <c r="AW31" s="78">
        <v>0</v>
      </c>
      <c r="AX31" s="78">
        <v>716.42412321848099</v>
      </c>
      <c r="AY31" s="78">
        <v>23.921119393059801</v>
      </c>
      <c r="AZ31" s="78">
        <v>0</v>
      </c>
      <c r="BA31" s="78">
        <v>23.361693644344999</v>
      </c>
      <c r="BB31" s="78">
        <v>0</v>
      </c>
      <c r="BC31" s="78">
        <v>0</v>
      </c>
      <c r="BD31" s="78">
        <v>0</v>
      </c>
    </row>
    <row r="32" spans="1:56" ht="11.25" customHeight="1" x14ac:dyDescent="0.3">
      <c r="A32" s="125"/>
      <c r="B32" s="125"/>
      <c r="C32" s="125"/>
      <c r="D32" s="125"/>
      <c r="E32" s="125"/>
      <c r="F32" s="125"/>
      <c r="G32" s="21" t="s">
        <v>69</v>
      </c>
      <c r="H32" s="21" t="s">
        <v>67</v>
      </c>
      <c r="I32" s="21">
        <f>'MERCADO TUSD'!$U$29</f>
        <v>0</v>
      </c>
      <c r="J32" s="17"/>
      <c r="L32" s="78">
        <f>('TUSD BE'!$L$32+'TUSD BF'!$L$32+'TUSD CVA'!$L$32)*(1 - CUSTOS!$M$38)</f>
        <v>45.77697262840789</v>
      </c>
      <c r="M32" s="78">
        <f>('TUSD BE'!$M$32+'TUSD BF'!$M$32+'TUSD CVA'!$M$32)*(1 - CUSTOS!$M$38)</f>
        <v>2.2342300845511196</v>
      </c>
      <c r="N32" s="78">
        <f ca="1">('TUSD BE'!$N$32+'TUSD BF'!$N$32+'TUSD CVA'!$N$32)*(1 - CUSTOS!$M$38)</f>
        <v>0</v>
      </c>
      <c r="O32" s="78">
        <f>('TUSD BE'!$O$32+'TUSD BF'!$O$32+'TUSD CVA'!$O$32)*(1 - CUSTOS!$M$38)</f>
        <v>0</v>
      </c>
      <c r="P32" s="78">
        <f>('TUSD BE'!$P$32+'TUSD BF'!$P$32+'TUSD CVA'!$P$32)*(1 - CUSTOS!$M$38)</f>
        <v>0</v>
      </c>
      <c r="Q32" s="78">
        <f>('TUSD BE'!$Q$32+'TUSD BF'!$Q$32+'TUSD CVA'!$Q$32)*(1 - CUSTOS!$M$38)</f>
        <v>74.267887467086368</v>
      </c>
      <c r="R32" s="78">
        <f>('TUSD BE'!$R$32+'TUSD BF'!$R$32+'TUSD CVA'!$R$32)*(1 - CUSTOS!$M$38)</f>
        <v>12.88763535792082</v>
      </c>
      <c r="S32" s="78">
        <f>('TUSD BE'!$S$32+'TUSD BF'!$S$32+'TUSD CVA'!$S$32)*(1 - CUSTOS!$M$38)</f>
        <v>0</v>
      </c>
      <c r="T32" s="78">
        <f>('TUSD BE'!$U$32+'TUSD BF'!$U$32+'TUSD CVA'!$U$32)*(1 - CUSTOS!$M$38)</f>
        <v>0</v>
      </c>
      <c r="U32" s="78">
        <f>('TUSD BE'!$V$32+'TUSD BF'!$V$32+'TUSD CVA'!$V$32)*(1 - CUSTOS!$M$38)</f>
        <v>0</v>
      </c>
      <c r="V32" s="78">
        <f>('TUSD BE'!$W$32+'TUSD BF'!$W$32+'TUSD CVA'!$W$32)*(1 - CUSTOS!$M$38)</f>
        <v>0</v>
      </c>
      <c r="W32" s="78">
        <f>('TUSD BE'!$X$32+'TUSD BF'!$X$32+'TUSD CVA'!$X$32)*(1 - CUSTOS!$M$38)</f>
        <v>0</v>
      </c>
      <c r="X32" s="78">
        <f>('TUSD BE'!$Y$32+'TUSD BF'!$Y$32+'TUSD CVA'!$Y$32)*(1 - CUSTOS!$M$38)</f>
        <v>217.64551234359499</v>
      </c>
      <c r="Y32" s="78">
        <f>('TUSD BE'!$Z$32+'TUSD BF'!$Z$32+'TUSD CVA'!$Z$32)*(1 - CUSTOS!$M$38)</f>
        <v>0</v>
      </c>
      <c r="Z32" s="78">
        <f>('TUSD BE'!$AA$32+'TUSD BF'!$AA$32+'TUSD CVA'!$AA$32)*(1 - CUSTOS!$M$38)</f>
        <v>0</v>
      </c>
      <c r="AA32" s="78">
        <f>('TUSD BE'!$AC$32+'TUSD BF'!$AC$32+'TUSD CVA'!$AC$32)*(1 - CUSTOS!$M$38)</f>
        <v>276.98186246855943</v>
      </c>
      <c r="AB32" s="78">
        <f ca="1">('TUSD BE'!$AE$32+'TUSD BF'!$AE$32+'TUSD CVA'!$AE$32)*(1 - CUSTOS!$M$38)</f>
        <v>0</v>
      </c>
      <c r="AC32" s="78">
        <f ca="1">('TUSD BE'!$AF$32+'TUSD BF'!$AF$32+'TUSD CVA'!$AF$32)*(1 - CUSTOS!$M$38)</f>
        <v>0</v>
      </c>
      <c r="AD32" s="78">
        <f>('TUSD BE'!$AH$32+'TUSD BF'!$AH$32+'TUSD CVA'!$AH$32)*(1 - CUSTOS!$M$38)</f>
        <v>21.237860800886153</v>
      </c>
      <c r="AE32" s="78">
        <f>('TUSD BE'!$AI$32+'TUSD BF'!$AI$32+'TUSD CVA'!$AI$32)*(1 - CUSTOS!$M$38)</f>
        <v>0</v>
      </c>
      <c r="AF32" s="78">
        <f ca="1">('TUSD BE'!$AJ$32+'TUSD BF'!$AJ$32+'TUSD CVA'!$AJ$32)*(1 - CUSTOS!$M$38)</f>
        <v>2.90047936715666</v>
      </c>
      <c r="AG32" s="78">
        <f ca="1">('TUSD BE'!$AK$32+'TUSD BF'!$AK$32+'TUSD CVA'!$AK$32)*(1 - CUSTOS!$M$38)</f>
        <v>0</v>
      </c>
      <c r="AI32" s="78">
        <v>0</v>
      </c>
      <c r="AJ32" s="78">
        <v>1.9488256869021101</v>
      </c>
      <c r="AK32" s="78">
        <v>0</v>
      </c>
      <c r="AL32" s="78">
        <v>0</v>
      </c>
      <c r="AM32" s="78">
        <v>0</v>
      </c>
      <c r="AN32" s="78">
        <v>98.598881284704802</v>
      </c>
      <c r="AO32" s="78">
        <v>8.2131574857136602</v>
      </c>
      <c r="AP32" s="78">
        <v>0</v>
      </c>
      <c r="AQ32" s="78">
        <v>0</v>
      </c>
      <c r="AR32" s="78">
        <v>0</v>
      </c>
      <c r="AS32" s="78">
        <v>0</v>
      </c>
      <c r="AT32" s="78">
        <v>0</v>
      </c>
      <c r="AU32" s="78">
        <v>108.235212992562</v>
      </c>
      <c r="AV32" s="78">
        <v>0</v>
      </c>
      <c r="AW32" s="78">
        <v>0</v>
      </c>
      <c r="AX32" s="78">
        <v>238.808161513252</v>
      </c>
      <c r="AY32" s="78">
        <v>9.5863538004749191</v>
      </c>
      <c r="AZ32" s="78">
        <v>0</v>
      </c>
      <c r="BA32" s="78">
        <v>23.361693644344999</v>
      </c>
      <c r="BB32" s="78">
        <v>0</v>
      </c>
      <c r="BC32" s="78">
        <v>0</v>
      </c>
      <c r="BD32" s="78">
        <v>0</v>
      </c>
    </row>
    <row r="33" spans="1:56" ht="11.25" customHeight="1" x14ac:dyDescent="0.3">
      <c r="A33" s="125"/>
      <c r="B33" s="80" t="s">
        <v>23</v>
      </c>
      <c r="C33" s="80" t="s">
        <v>41</v>
      </c>
      <c r="D33" s="80" t="s">
        <v>25</v>
      </c>
      <c r="E33" s="80" t="s">
        <v>25</v>
      </c>
      <c r="F33" s="80" t="s">
        <v>25</v>
      </c>
      <c r="G33" s="21" t="s">
        <v>74</v>
      </c>
      <c r="H33" s="21" t="s">
        <v>67</v>
      </c>
      <c r="I33" s="21">
        <f>'MERCADO TUSD'!$U$30</f>
        <v>1516.1360000000004</v>
      </c>
      <c r="J33" s="17"/>
      <c r="L33" s="78">
        <f>('TUSD BE'!$L$33+'TUSD BF'!$L$33+'TUSD CVA'!$L$33)*(1 - CUSTOS!$M$38)</f>
        <v>45.77697262840789</v>
      </c>
      <c r="M33" s="78">
        <f>('TUSD BE'!$M$33+'TUSD BF'!$M$33+'TUSD CVA'!$M$33)*(1 - CUSTOS!$M$38)</f>
        <v>2.2342300845511196</v>
      </c>
      <c r="N33" s="78">
        <f ca="1">('TUSD BE'!$N$33+'TUSD BF'!$N$33+'TUSD CVA'!$N$33)*(1 - CUSTOS!$M$38)</f>
        <v>0</v>
      </c>
      <c r="O33" s="78">
        <f>('TUSD BE'!$O$33+'TUSD BF'!$O$33+'TUSD CVA'!$O$33)*(1 - CUSTOS!$M$38)</f>
        <v>0</v>
      </c>
      <c r="P33" s="78">
        <f>('TUSD BE'!$P$33+'TUSD BF'!$P$33+'TUSD CVA'!$P$33)*(1 - CUSTOS!$M$38)</f>
        <v>0</v>
      </c>
      <c r="Q33" s="78">
        <f>('TUSD BE'!$Q$33+'TUSD BF'!$Q$33+'TUSD CVA'!$Q$33)*(1 - CUSTOS!$M$38)</f>
        <v>74.267887467086368</v>
      </c>
      <c r="R33" s="78">
        <f>('TUSD BE'!$R$33+'TUSD BF'!$R$33+'TUSD CVA'!$R$33)*(1 - CUSTOS!$M$38)</f>
        <v>12.88763535792082</v>
      </c>
      <c r="S33" s="78">
        <f>('TUSD BE'!$S$33+'TUSD BF'!$S$33+'TUSD CVA'!$S$33)*(1 - CUSTOS!$M$38)</f>
        <v>0</v>
      </c>
      <c r="T33" s="78">
        <f>('TUSD BE'!$U$33+'TUSD BF'!$U$33+'TUSD CVA'!$U$33)*(1 - CUSTOS!$M$38)</f>
        <v>0</v>
      </c>
      <c r="U33" s="78">
        <f>('TUSD BE'!$V$33+'TUSD BF'!$V$33+'TUSD CVA'!$V$33)*(1 - CUSTOS!$M$38)</f>
        <v>0</v>
      </c>
      <c r="V33" s="78">
        <f>('TUSD BE'!$W$33+'TUSD BF'!$W$33+'TUSD CVA'!$W$33)*(1 - CUSTOS!$M$38)</f>
        <v>0</v>
      </c>
      <c r="W33" s="78">
        <f>('TUSD BE'!$X$33+'TUSD BF'!$X$33+'TUSD CVA'!$X$33)*(1 - CUSTOS!$M$38)</f>
        <v>0</v>
      </c>
      <c r="X33" s="78">
        <f>('TUSD BE'!$Y$33+'TUSD BF'!$Y$33+'TUSD CVA'!$Y$33)*(1 - CUSTOS!$M$38)</f>
        <v>362.74147321994064</v>
      </c>
      <c r="Y33" s="78">
        <f>('TUSD BE'!$Z$33+'TUSD BF'!$Z$33+'TUSD CVA'!$Z$33)*(1 - CUSTOS!$M$38)</f>
        <v>0</v>
      </c>
      <c r="Z33" s="78">
        <f>('TUSD BE'!$AA$33+'TUSD BF'!$AA$33+'TUSD CVA'!$AA$33)*(1 - CUSTOS!$M$38)</f>
        <v>0</v>
      </c>
      <c r="AA33" s="78">
        <f>('TUSD BE'!$AC$33+'TUSD BF'!$AC$33+'TUSD CVA'!$AC$33)*(1 - CUSTOS!$M$38)</f>
        <v>461.63616880275976</v>
      </c>
      <c r="AB33" s="78">
        <f ca="1">('TUSD BE'!$AE$33+'TUSD BF'!$AE$33+'TUSD CVA'!$AE$33)*(1 - CUSTOS!$M$38)</f>
        <v>0</v>
      </c>
      <c r="AC33" s="78">
        <f ca="1">('TUSD BE'!$AF$33+'TUSD BF'!$AF$33+'TUSD CVA'!$AF$33)*(1 - CUSTOS!$M$38)</f>
        <v>0</v>
      </c>
      <c r="AD33" s="78">
        <f>('TUSD BE'!$AH$33+'TUSD BF'!$AH$33+'TUSD CVA'!$AH$33)*(1 - CUSTOS!$M$38)</f>
        <v>21.237860800886153</v>
      </c>
      <c r="AE33" s="78">
        <f>('TUSD BE'!$AI$33+'TUSD BF'!$AI$33+'TUSD CVA'!$AI$33)*(1 - CUSTOS!$M$38)</f>
        <v>0</v>
      </c>
      <c r="AF33" s="78">
        <f ca="1">('TUSD BE'!$AJ$33+'TUSD BF'!$AJ$33+'TUSD CVA'!$AJ$33)*(1 - CUSTOS!$M$38)</f>
        <v>2.90047936715666</v>
      </c>
      <c r="AG33" s="78">
        <f ca="1">('TUSD BE'!$AK$33+'TUSD BF'!$AK$33+'TUSD CVA'!$AK$33)*(1 - CUSTOS!$M$38)</f>
        <v>0</v>
      </c>
      <c r="AI33" s="78">
        <v>0</v>
      </c>
      <c r="AJ33" s="78">
        <v>1.9488256869021101</v>
      </c>
      <c r="AK33" s="78">
        <v>0</v>
      </c>
      <c r="AL33" s="78">
        <v>0</v>
      </c>
      <c r="AM33" s="78">
        <v>0</v>
      </c>
      <c r="AN33" s="78">
        <v>98.598881284704802</v>
      </c>
      <c r="AO33" s="78">
        <v>8.2131574857136602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180.39146694183501</v>
      </c>
      <c r="AV33" s="78">
        <v>0</v>
      </c>
      <c r="AW33" s="78">
        <v>0</v>
      </c>
      <c r="AX33" s="78">
        <v>398.01336164123597</v>
      </c>
      <c r="AY33" s="78">
        <v>14.364612494250901</v>
      </c>
      <c r="AZ33" s="78">
        <v>0</v>
      </c>
      <c r="BA33" s="78">
        <v>23.361693644344999</v>
      </c>
      <c r="BB33" s="78">
        <v>0</v>
      </c>
      <c r="BC33" s="78">
        <v>0</v>
      </c>
      <c r="BD33" s="78">
        <v>0</v>
      </c>
    </row>
    <row r="34" spans="1:56" ht="11.25" customHeight="1" x14ac:dyDescent="0.3">
      <c r="A34" s="125"/>
      <c r="B34" s="125" t="s">
        <v>82</v>
      </c>
      <c r="C34" s="125" t="s">
        <v>41</v>
      </c>
      <c r="D34" s="125" t="s">
        <v>85</v>
      </c>
      <c r="E34" s="125" t="s">
        <v>25</v>
      </c>
      <c r="F34" s="125" t="s">
        <v>25</v>
      </c>
      <c r="G34" s="21" t="s">
        <v>68</v>
      </c>
      <c r="H34" s="21" t="s">
        <v>67</v>
      </c>
      <c r="I34" s="21">
        <f>'MERCADO TUSD'!$U$31</f>
        <v>0</v>
      </c>
      <c r="J34" s="17"/>
      <c r="L34" s="78">
        <f>('TUSD BE'!$L$34+'TUSD BF'!$L$34+'TUSD CVA'!$L$34)*(1 - CUSTOS!$M$39)</f>
        <v>45.77697262840789</v>
      </c>
      <c r="M34" s="78">
        <f>('TUSD BE'!$M$34+'TUSD BF'!$M$34+'TUSD CVA'!$M$34)*(1 - CUSTOS!$M$39)</f>
        <v>2.2342300845511196</v>
      </c>
      <c r="N34" s="78">
        <f ca="1">('TUSD BE'!$N$34+'TUSD BF'!$N$34+'TUSD CVA'!$N$34)*(1 - CUSTOS!$M$39)</f>
        <v>0</v>
      </c>
      <c r="O34" s="78">
        <f>('TUSD BE'!$O$34+'TUSD BF'!$O$34+'TUSD CVA'!$O$34)*(1 - CUSTOS!$M$39)</f>
        <v>0</v>
      </c>
      <c r="P34" s="78">
        <f>('TUSD BE'!$P$34+'TUSD BF'!$P$34+'TUSD CVA'!$P$34)*(1 - CUSTOS!$M$39)</f>
        <v>0</v>
      </c>
      <c r="Q34" s="78">
        <f>('TUSD BE'!$Q$34+'TUSD BF'!$Q$34+'TUSD CVA'!$Q$34)*(1 - CUSTOS!$M$39)</f>
        <v>74.267887467086368</v>
      </c>
      <c r="R34" s="78">
        <f>('TUSD BE'!$R$34+'TUSD BF'!$R$34+'TUSD CVA'!$R$34)*(1 - CUSTOS!$M$39)</f>
        <v>12.88763535792082</v>
      </c>
      <c r="S34" s="78">
        <f>('TUSD BE'!$S$34+'TUSD BF'!$S$34+'TUSD CVA'!$S$34)*(1 - CUSTOS!$M$39)</f>
        <v>0</v>
      </c>
      <c r="T34" s="78">
        <f>('TUSD BE'!$U$34+'TUSD BF'!$U$34+'TUSD CVA'!$U$34)*(1 - CUSTOS!$M$39)</f>
        <v>0</v>
      </c>
      <c r="U34" s="78">
        <f>('TUSD BE'!$V$34+'TUSD BF'!$V$34+'TUSD CVA'!$V$34)*(1 - CUSTOS!$M$39)</f>
        <v>0</v>
      </c>
      <c r="V34" s="78">
        <f>('TUSD BE'!$W$34+'TUSD BF'!$W$34+'TUSD CVA'!$W$34)*(1 - CUSTOS!$M$39)</f>
        <v>0</v>
      </c>
      <c r="W34" s="78">
        <f>('TUSD BE'!$X$34+'TUSD BF'!$X$34+'TUSD CVA'!$X$34)*(1 - CUSTOS!$M$39)</f>
        <v>0</v>
      </c>
      <c r="X34" s="78">
        <f>('TUSD BE'!$Y$34+'TUSD BF'!$Y$34+'TUSD CVA'!$Y$34)*(1 - CUSTOS!$M$39)</f>
        <v>1088.2229914515708</v>
      </c>
      <c r="Y34" s="78">
        <f>('TUSD BE'!$Z$34+'TUSD BF'!$Z$34+'TUSD CVA'!$Z$34)*(1 - CUSTOS!$M$39)</f>
        <v>0</v>
      </c>
      <c r="Z34" s="78">
        <f>('TUSD BE'!$AA$34+'TUSD BF'!$AA$34+'TUSD CVA'!$AA$34)*(1 - CUSTOS!$M$39)</f>
        <v>0</v>
      </c>
      <c r="AA34" s="78">
        <f>('TUSD BE'!$AC$34+'TUSD BF'!$AC$34+'TUSD CVA'!$AC$34)*(1 - CUSTOS!$M$39)</f>
        <v>1384.9086071500942</v>
      </c>
      <c r="AB34" s="78">
        <f ca="1">('TUSD BE'!$AE$34+'TUSD BF'!$AE$34+'TUSD CVA'!$AE$34)*(1 - CUSTOS!$M$39)</f>
        <v>0</v>
      </c>
      <c r="AC34" s="78">
        <f ca="1">('TUSD BE'!$AF$34+'TUSD BF'!$AF$34+'TUSD CVA'!$AF$34)*(1 - CUSTOS!$M$39)</f>
        <v>0</v>
      </c>
      <c r="AD34" s="78">
        <f>('TUSD BE'!$AH$34+'TUSD BF'!$AH$34+'TUSD CVA'!$AH$34)*(1 - CUSTOS!$M$39)</f>
        <v>21.237860800886153</v>
      </c>
      <c r="AE34" s="78">
        <f>('TUSD BE'!$AI$34+'TUSD BF'!$AI$34+'TUSD CVA'!$AI$34)*(1 - CUSTOS!$M$39)</f>
        <v>0</v>
      </c>
      <c r="AF34" s="78">
        <f ca="1">('TUSD BE'!$AJ$34+'TUSD BF'!$AJ$34+'TUSD CVA'!$AJ$34)*(1 - CUSTOS!$M$39)</f>
        <v>2.90047936715666</v>
      </c>
      <c r="AG34" s="78">
        <f ca="1">('TUSD BE'!$AK$34+'TUSD BF'!$AK$34+'TUSD CVA'!$AK$34)*(1 - CUSTOS!$M$39)</f>
        <v>0</v>
      </c>
      <c r="AI34" s="78">
        <v>0</v>
      </c>
      <c r="AJ34" s="78">
        <v>1.9488256869021101</v>
      </c>
      <c r="AK34" s="78">
        <v>0</v>
      </c>
      <c r="AL34" s="78">
        <v>0</v>
      </c>
      <c r="AM34" s="78">
        <v>0</v>
      </c>
      <c r="AN34" s="78">
        <v>98.598881284704802</v>
      </c>
      <c r="AO34" s="78">
        <v>8.2131574857136602</v>
      </c>
      <c r="AP34" s="78">
        <v>0</v>
      </c>
      <c r="AQ34" s="78">
        <v>0</v>
      </c>
      <c r="AR34" s="78">
        <v>0</v>
      </c>
      <c r="AS34" s="78">
        <v>0</v>
      </c>
      <c r="AT34" s="78">
        <v>0</v>
      </c>
      <c r="AU34" s="78">
        <v>541.17375366099805</v>
      </c>
      <c r="AV34" s="78">
        <v>0</v>
      </c>
      <c r="AW34" s="78">
        <v>0</v>
      </c>
      <c r="AX34" s="78">
        <v>1194.0400849237101</v>
      </c>
      <c r="AY34" s="78">
        <v>38.255943933254997</v>
      </c>
      <c r="AZ34" s="78">
        <v>0</v>
      </c>
      <c r="BA34" s="78">
        <v>23.361693644344999</v>
      </c>
      <c r="BB34" s="78">
        <v>0</v>
      </c>
      <c r="BC34" s="78">
        <v>0</v>
      </c>
      <c r="BD34" s="78">
        <v>0</v>
      </c>
    </row>
    <row r="35" spans="1:56" ht="11.25" customHeight="1" x14ac:dyDescent="0.3">
      <c r="A35" s="125"/>
      <c r="B35" s="125"/>
      <c r="C35" s="125"/>
      <c r="D35" s="125"/>
      <c r="E35" s="125"/>
      <c r="F35" s="125"/>
      <c r="G35" s="21" t="s">
        <v>80</v>
      </c>
      <c r="H35" s="21" t="s">
        <v>67</v>
      </c>
      <c r="I35" s="21">
        <f>'MERCADO TUSD'!$U$32</f>
        <v>0</v>
      </c>
      <c r="J35" s="17"/>
      <c r="L35" s="78">
        <f>('TUSD BE'!$L$35+'TUSD BF'!$L$35+'TUSD CVA'!$L$35)*(1 - CUSTOS!$M$39)</f>
        <v>45.77697262840789</v>
      </c>
      <c r="M35" s="78">
        <f>('TUSD BE'!$M$35+'TUSD BF'!$M$35+'TUSD CVA'!$M$35)*(1 - CUSTOS!$M$39)</f>
        <v>2.2342300845511196</v>
      </c>
      <c r="N35" s="78">
        <f ca="1">('TUSD BE'!$N$35+'TUSD BF'!$N$35+'TUSD CVA'!$N$35)*(1 - CUSTOS!$M$39)</f>
        <v>0</v>
      </c>
      <c r="O35" s="78">
        <f>('TUSD BE'!$O$35+'TUSD BF'!$O$35+'TUSD CVA'!$O$35)*(1 - CUSTOS!$M$39)</f>
        <v>0</v>
      </c>
      <c r="P35" s="78">
        <f>('TUSD BE'!$P$35+'TUSD BF'!$P$35+'TUSD CVA'!$P$35)*(1 - CUSTOS!$M$39)</f>
        <v>0</v>
      </c>
      <c r="Q35" s="78">
        <f>('TUSD BE'!$Q$35+'TUSD BF'!$Q$35+'TUSD CVA'!$Q$35)*(1 - CUSTOS!$M$39)</f>
        <v>74.267887467086368</v>
      </c>
      <c r="R35" s="78">
        <f>('TUSD BE'!$R$35+'TUSD BF'!$R$35+'TUSD CVA'!$R$35)*(1 - CUSTOS!$M$39)</f>
        <v>12.88763535792082</v>
      </c>
      <c r="S35" s="78">
        <f>('TUSD BE'!$S$35+'TUSD BF'!$S$35+'TUSD CVA'!$S$35)*(1 - CUSTOS!$M$39)</f>
        <v>0</v>
      </c>
      <c r="T35" s="78">
        <f>('TUSD BE'!$U$35+'TUSD BF'!$U$35+'TUSD CVA'!$U$35)*(1 - CUSTOS!$M$39)</f>
        <v>0</v>
      </c>
      <c r="U35" s="78">
        <f>('TUSD BE'!$V$35+'TUSD BF'!$V$35+'TUSD CVA'!$V$35)*(1 - CUSTOS!$M$39)</f>
        <v>0</v>
      </c>
      <c r="V35" s="78">
        <f>('TUSD BE'!$W$35+'TUSD BF'!$W$35+'TUSD CVA'!$W$35)*(1 - CUSTOS!$M$39)</f>
        <v>0</v>
      </c>
      <c r="W35" s="78">
        <f>('TUSD BE'!$X$35+'TUSD BF'!$X$35+'TUSD CVA'!$X$35)*(1 - CUSTOS!$M$39)</f>
        <v>0</v>
      </c>
      <c r="X35" s="78">
        <f>('TUSD BE'!$Y$35+'TUSD BF'!$Y$35+'TUSD CVA'!$Y$35)*(1 - CUSTOS!$M$39)</f>
        <v>652.93168112273054</v>
      </c>
      <c r="Y35" s="78">
        <f>('TUSD BE'!$Z$35+'TUSD BF'!$Z$35+'TUSD CVA'!$Z$35)*(1 - CUSTOS!$M$39)</f>
        <v>0</v>
      </c>
      <c r="Z35" s="78">
        <f>('TUSD BE'!$AA$35+'TUSD BF'!$AA$35+'TUSD CVA'!$AA$35)*(1 - CUSTOS!$M$39)</f>
        <v>0</v>
      </c>
      <c r="AA35" s="78">
        <f>('TUSD BE'!$AC$35+'TUSD BF'!$AC$35+'TUSD CVA'!$AC$35)*(1 - CUSTOS!$M$39)</f>
        <v>830.94518443841935</v>
      </c>
      <c r="AB35" s="78">
        <f ca="1">('TUSD BE'!$AE$35+'TUSD BF'!$AE$35+'TUSD CVA'!$AE$35)*(1 - CUSTOS!$M$39)</f>
        <v>0</v>
      </c>
      <c r="AC35" s="78">
        <f ca="1">('TUSD BE'!$AF$35+'TUSD BF'!$AF$35+'TUSD CVA'!$AF$35)*(1 - CUSTOS!$M$39)</f>
        <v>0</v>
      </c>
      <c r="AD35" s="78">
        <f>('TUSD BE'!$AH$35+'TUSD BF'!$AH$35+'TUSD CVA'!$AH$35)*(1 - CUSTOS!$M$39)</f>
        <v>21.237860800886153</v>
      </c>
      <c r="AE35" s="78">
        <f>('TUSD BE'!$AI$35+'TUSD BF'!$AI$35+'TUSD CVA'!$AI$35)*(1 - CUSTOS!$M$39)</f>
        <v>0</v>
      </c>
      <c r="AF35" s="78">
        <f ca="1">('TUSD BE'!$AJ$35+'TUSD BF'!$AJ$35+'TUSD CVA'!$AJ$35)*(1 - CUSTOS!$M$39)</f>
        <v>2.90047936715666</v>
      </c>
      <c r="AG35" s="78">
        <f ca="1">('TUSD BE'!$AK$35+'TUSD BF'!$AK$35+'TUSD CVA'!$AK$35)*(1 - CUSTOS!$M$39)</f>
        <v>0</v>
      </c>
      <c r="AI35" s="78">
        <v>0</v>
      </c>
      <c r="AJ35" s="78">
        <v>1.9488256869021101</v>
      </c>
      <c r="AK35" s="78">
        <v>0</v>
      </c>
      <c r="AL35" s="78">
        <v>0</v>
      </c>
      <c r="AM35" s="78">
        <v>0</v>
      </c>
      <c r="AN35" s="78">
        <v>98.598881284704802</v>
      </c>
      <c r="AO35" s="78">
        <v>8.2131574857136602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324.70323522380102</v>
      </c>
      <c r="AV35" s="78">
        <v>0</v>
      </c>
      <c r="AW35" s="78">
        <v>0</v>
      </c>
      <c r="AX35" s="78">
        <v>716.42412321848099</v>
      </c>
      <c r="AY35" s="78">
        <v>23.921119393059801</v>
      </c>
      <c r="AZ35" s="78">
        <v>0</v>
      </c>
      <c r="BA35" s="78">
        <v>23.361693644344999</v>
      </c>
      <c r="BB35" s="78">
        <v>0</v>
      </c>
      <c r="BC35" s="78">
        <v>0</v>
      </c>
      <c r="BD35" s="78">
        <v>0</v>
      </c>
    </row>
    <row r="36" spans="1:56" ht="11.25" customHeight="1" x14ac:dyDescent="0.3">
      <c r="A36" s="125"/>
      <c r="B36" s="125"/>
      <c r="C36" s="125"/>
      <c r="D36" s="125"/>
      <c r="E36" s="125"/>
      <c r="F36" s="125"/>
      <c r="G36" s="21" t="s">
        <v>69</v>
      </c>
      <c r="H36" s="21" t="s">
        <v>67</v>
      </c>
      <c r="I36" s="21">
        <f>'MERCADO TUSD'!$U$33</f>
        <v>0</v>
      </c>
      <c r="J36" s="17"/>
      <c r="L36" s="78">
        <f>('TUSD BE'!$L$36+'TUSD BF'!$L$36+'TUSD CVA'!$L$36)*(1 - CUSTOS!$M$39)</f>
        <v>45.77697262840789</v>
      </c>
      <c r="M36" s="78">
        <f>('TUSD BE'!$M$36+'TUSD BF'!$M$36+'TUSD CVA'!$M$36)*(1 - CUSTOS!$M$39)</f>
        <v>2.2342300845511196</v>
      </c>
      <c r="N36" s="78">
        <f ca="1">('TUSD BE'!$N$36+'TUSD BF'!$N$36+'TUSD CVA'!$N$36)*(1 - CUSTOS!$M$39)</f>
        <v>0</v>
      </c>
      <c r="O36" s="78">
        <f>('TUSD BE'!$O$36+'TUSD BF'!$O$36+'TUSD CVA'!$O$36)*(1 - CUSTOS!$M$39)</f>
        <v>0</v>
      </c>
      <c r="P36" s="78">
        <f>('TUSD BE'!$P$36+'TUSD BF'!$P$36+'TUSD CVA'!$P$36)*(1 - CUSTOS!$M$39)</f>
        <v>0</v>
      </c>
      <c r="Q36" s="78">
        <f>('TUSD BE'!$Q$36+'TUSD BF'!$Q$36+'TUSD CVA'!$Q$36)*(1 - CUSTOS!$M$39)</f>
        <v>74.267887467086368</v>
      </c>
      <c r="R36" s="78">
        <f>('TUSD BE'!$R$36+'TUSD BF'!$R$36+'TUSD CVA'!$R$36)*(1 - CUSTOS!$M$39)</f>
        <v>12.88763535792082</v>
      </c>
      <c r="S36" s="78">
        <f>('TUSD BE'!$S$36+'TUSD BF'!$S$36+'TUSD CVA'!$S$36)*(1 - CUSTOS!$M$39)</f>
        <v>0</v>
      </c>
      <c r="T36" s="78">
        <f>('TUSD BE'!$U$36+'TUSD BF'!$U$36+'TUSD CVA'!$U$36)*(1 - CUSTOS!$M$39)</f>
        <v>0</v>
      </c>
      <c r="U36" s="78">
        <f>('TUSD BE'!$V$36+'TUSD BF'!$V$36+'TUSD CVA'!$V$36)*(1 - CUSTOS!$M$39)</f>
        <v>0</v>
      </c>
      <c r="V36" s="78">
        <f>('TUSD BE'!$W$36+'TUSD BF'!$W$36+'TUSD CVA'!$W$36)*(1 - CUSTOS!$M$39)</f>
        <v>0</v>
      </c>
      <c r="W36" s="78">
        <f>('TUSD BE'!$X$36+'TUSD BF'!$X$36+'TUSD CVA'!$X$36)*(1 - CUSTOS!$M$39)</f>
        <v>0</v>
      </c>
      <c r="X36" s="78">
        <f>('TUSD BE'!$Y$36+'TUSD BF'!$Y$36+'TUSD CVA'!$Y$36)*(1 - CUSTOS!$M$39)</f>
        <v>217.64551234359499</v>
      </c>
      <c r="Y36" s="78">
        <f>('TUSD BE'!$Z$36+'TUSD BF'!$Z$36+'TUSD CVA'!$Z$36)*(1 - CUSTOS!$M$39)</f>
        <v>0</v>
      </c>
      <c r="Z36" s="78">
        <f>('TUSD BE'!$AA$36+'TUSD BF'!$AA$36+'TUSD CVA'!$AA$36)*(1 - CUSTOS!$M$39)</f>
        <v>0</v>
      </c>
      <c r="AA36" s="78">
        <f>('TUSD BE'!$AC$36+'TUSD BF'!$AC$36+'TUSD CVA'!$AC$36)*(1 - CUSTOS!$M$39)</f>
        <v>276.98186246855943</v>
      </c>
      <c r="AB36" s="78">
        <f ca="1">('TUSD BE'!$AE$36+'TUSD BF'!$AE$36+'TUSD CVA'!$AE$36)*(1 - CUSTOS!$M$39)</f>
        <v>0</v>
      </c>
      <c r="AC36" s="78">
        <f ca="1">('TUSD BE'!$AF$36+'TUSD BF'!$AF$36+'TUSD CVA'!$AF$36)*(1 - CUSTOS!$M$39)</f>
        <v>0</v>
      </c>
      <c r="AD36" s="78">
        <f>('TUSD BE'!$AH$36+'TUSD BF'!$AH$36+'TUSD CVA'!$AH$36)*(1 - CUSTOS!$M$39)</f>
        <v>21.237860800886153</v>
      </c>
      <c r="AE36" s="78">
        <f>('TUSD BE'!$AI$36+'TUSD BF'!$AI$36+'TUSD CVA'!$AI$36)*(1 - CUSTOS!$M$39)</f>
        <v>0</v>
      </c>
      <c r="AF36" s="78">
        <f ca="1">('TUSD BE'!$AJ$36+'TUSD BF'!$AJ$36+'TUSD CVA'!$AJ$36)*(1 - CUSTOS!$M$39)</f>
        <v>2.90047936715666</v>
      </c>
      <c r="AG36" s="78">
        <f ca="1">('TUSD BE'!$AK$36+'TUSD BF'!$AK$36+'TUSD CVA'!$AK$36)*(1 - CUSTOS!$M$39)</f>
        <v>0</v>
      </c>
      <c r="AI36" s="78">
        <v>0</v>
      </c>
      <c r="AJ36" s="78">
        <v>1.9488256869021101</v>
      </c>
      <c r="AK36" s="78">
        <v>0</v>
      </c>
      <c r="AL36" s="78">
        <v>0</v>
      </c>
      <c r="AM36" s="78">
        <v>0</v>
      </c>
      <c r="AN36" s="78">
        <v>98.598881284704802</v>
      </c>
      <c r="AO36" s="78">
        <v>8.2131574857136602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108.235212992562</v>
      </c>
      <c r="AV36" s="78">
        <v>0</v>
      </c>
      <c r="AW36" s="78">
        <v>0</v>
      </c>
      <c r="AX36" s="78">
        <v>238.808161513252</v>
      </c>
      <c r="AY36" s="78">
        <v>9.5863538004749191</v>
      </c>
      <c r="AZ36" s="78">
        <v>0</v>
      </c>
      <c r="BA36" s="78">
        <v>23.361693644344999</v>
      </c>
      <c r="BB36" s="78">
        <v>0</v>
      </c>
      <c r="BC36" s="78">
        <v>0</v>
      </c>
      <c r="BD36" s="78">
        <v>0</v>
      </c>
    </row>
    <row r="37" spans="1:56" ht="11.25" customHeight="1" x14ac:dyDescent="0.3">
      <c r="A37" s="125"/>
      <c r="B37" s="80" t="s">
        <v>23</v>
      </c>
      <c r="C37" s="80" t="s">
        <v>41</v>
      </c>
      <c r="D37" s="80" t="s">
        <v>85</v>
      </c>
      <c r="E37" s="80" t="s">
        <v>25</v>
      </c>
      <c r="F37" s="80" t="s">
        <v>25</v>
      </c>
      <c r="G37" s="21" t="s">
        <v>74</v>
      </c>
      <c r="H37" s="21" t="s">
        <v>67</v>
      </c>
      <c r="I37" s="21">
        <f>'MERCADO TUSD'!$U$34</f>
        <v>0</v>
      </c>
      <c r="J37" s="17"/>
      <c r="L37" s="78">
        <f>('TUSD BE'!$L$37+'TUSD BF'!$L$37+'TUSD CVA'!$L$37)*(1 - CUSTOS!$M$39)</f>
        <v>45.77697262840789</v>
      </c>
      <c r="M37" s="78">
        <f>('TUSD BE'!$M$37+'TUSD BF'!$M$37+'TUSD CVA'!$M$37)*(1 - CUSTOS!$M$39)</f>
        <v>2.2342300845511196</v>
      </c>
      <c r="N37" s="78">
        <f ca="1">('TUSD BE'!$N$37+'TUSD BF'!$N$37+'TUSD CVA'!$N$37)*(1 - CUSTOS!$M$39)</f>
        <v>0</v>
      </c>
      <c r="O37" s="78">
        <f>('TUSD BE'!$O$37+'TUSD BF'!$O$37+'TUSD CVA'!$O$37)*(1 - CUSTOS!$M$39)</f>
        <v>0</v>
      </c>
      <c r="P37" s="78">
        <f>('TUSD BE'!$P$37+'TUSD BF'!$P$37+'TUSD CVA'!$P$37)*(1 - CUSTOS!$M$39)</f>
        <v>0</v>
      </c>
      <c r="Q37" s="78">
        <f>('TUSD BE'!$Q$37+'TUSD BF'!$Q$37+'TUSD CVA'!$Q$37)*(1 - CUSTOS!$M$39)</f>
        <v>74.267887467086368</v>
      </c>
      <c r="R37" s="78">
        <f>('TUSD BE'!$R$37+'TUSD BF'!$R$37+'TUSD CVA'!$R$37)*(1 - CUSTOS!$M$39)</f>
        <v>12.88763535792082</v>
      </c>
      <c r="S37" s="78">
        <f>('TUSD BE'!$S$37+'TUSD BF'!$S$37+'TUSD CVA'!$S$37)*(1 - CUSTOS!$M$39)</f>
        <v>0</v>
      </c>
      <c r="T37" s="78">
        <f>('TUSD BE'!$U$37+'TUSD BF'!$U$37+'TUSD CVA'!$U$37)*(1 - CUSTOS!$M$39)</f>
        <v>0</v>
      </c>
      <c r="U37" s="78">
        <f>('TUSD BE'!$V$37+'TUSD BF'!$V$37+'TUSD CVA'!$V$37)*(1 - CUSTOS!$M$39)</f>
        <v>0</v>
      </c>
      <c r="V37" s="78">
        <f>('TUSD BE'!$W$37+'TUSD BF'!$W$37+'TUSD CVA'!$W$37)*(1 - CUSTOS!$M$39)</f>
        <v>0</v>
      </c>
      <c r="W37" s="78">
        <f>('TUSD BE'!$X$37+'TUSD BF'!$X$37+'TUSD CVA'!$X$37)*(1 - CUSTOS!$M$39)</f>
        <v>0</v>
      </c>
      <c r="X37" s="78">
        <f>('TUSD BE'!$Y$37+'TUSD BF'!$Y$37+'TUSD CVA'!$Y$37)*(1 - CUSTOS!$M$39)</f>
        <v>362.74147321994064</v>
      </c>
      <c r="Y37" s="78">
        <f>('TUSD BE'!$Z$37+'TUSD BF'!$Z$37+'TUSD CVA'!$Z$37)*(1 - CUSTOS!$M$39)</f>
        <v>0</v>
      </c>
      <c r="Z37" s="78">
        <f>('TUSD BE'!$AA$37+'TUSD BF'!$AA$37+'TUSD CVA'!$AA$37)*(1 - CUSTOS!$M$39)</f>
        <v>0</v>
      </c>
      <c r="AA37" s="78">
        <f>('TUSD BE'!$AC$37+'TUSD BF'!$AC$37+'TUSD CVA'!$AC$37)*(1 - CUSTOS!$M$39)</f>
        <v>461.63616880275976</v>
      </c>
      <c r="AB37" s="78">
        <f ca="1">('TUSD BE'!$AE$37+'TUSD BF'!$AE$37+'TUSD CVA'!$AE$37)*(1 - CUSTOS!$M$39)</f>
        <v>0</v>
      </c>
      <c r="AC37" s="78">
        <f ca="1">('TUSD BE'!$AF$37+'TUSD BF'!$AF$37+'TUSD CVA'!$AF$37)*(1 - CUSTOS!$M$39)</f>
        <v>0</v>
      </c>
      <c r="AD37" s="78">
        <f>('TUSD BE'!$AH$37+'TUSD BF'!$AH$37+'TUSD CVA'!$AH$37)*(1 - CUSTOS!$M$39)</f>
        <v>21.237860800886153</v>
      </c>
      <c r="AE37" s="78">
        <f>('TUSD BE'!$AI$37+'TUSD BF'!$AI$37+'TUSD CVA'!$AI$37)*(1 - CUSTOS!$M$39)</f>
        <v>0</v>
      </c>
      <c r="AF37" s="78">
        <f ca="1">('TUSD BE'!$AJ$37+'TUSD BF'!$AJ$37+'TUSD CVA'!$AJ$37)*(1 - CUSTOS!$M$39)</f>
        <v>2.90047936715666</v>
      </c>
      <c r="AG37" s="78">
        <f ca="1">('TUSD BE'!$AK$37+'TUSD BF'!$AK$37+'TUSD CVA'!$AK$37)*(1 - CUSTOS!$M$39)</f>
        <v>0</v>
      </c>
      <c r="AI37" s="78">
        <v>0</v>
      </c>
      <c r="AJ37" s="78">
        <v>1.9488256869021101</v>
      </c>
      <c r="AK37" s="78">
        <v>0</v>
      </c>
      <c r="AL37" s="78">
        <v>0</v>
      </c>
      <c r="AM37" s="78">
        <v>0</v>
      </c>
      <c r="AN37" s="78">
        <v>98.598881284704802</v>
      </c>
      <c r="AO37" s="78">
        <v>8.2131574857136602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180.39146694183501</v>
      </c>
      <c r="AV37" s="78">
        <v>0</v>
      </c>
      <c r="AW37" s="78">
        <v>0</v>
      </c>
      <c r="AX37" s="78">
        <v>398.01336164123597</v>
      </c>
      <c r="AY37" s="78">
        <v>14.364612494250901</v>
      </c>
      <c r="AZ37" s="78">
        <v>0</v>
      </c>
      <c r="BA37" s="78">
        <v>23.361693644344999</v>
      </c>
      <c r="BB37" s="78">
        <v>0</v>
      </c>
      <c r="BC37" s="78">
        <v>0</v>
      </c>
      <c r="BD37" s="78">
        <v>0</v>
      </c>
    </row>
    <row r="38" spans="1:56" ht="11.25" customHeight="1" x14ac:dyDescent="0.3">
      <c r="A38" s="125"/>
      <c r="B38" s="125" t="s">
        <v>82</v>
      </c>
      <c r="C38" s="125" t="s">
        <v>41</v>
      </c>
      <c r="D38" s="125" t="s">
        <v>86</v>
      </c>
      <c r="E38" s="125" t="s">
        <v>25</v>
      </c>
      <c r="F38" s="125" t="s">
        <v>25</v>
      </c>
      <c r="G38" s="21" t="s">
        <v>68</v>
      </c>
      <c r="H38" s="21" t="s">
        <v>67</v>
      </c>
      <c r="I38" s="21">
        <f>'MERCADO TUSD'!$U$35</f>
        <v>0</v>
      </c>
      <c r="J38" s="17"/>
      <c r="L38" s="78">
        <f>('TUSD BE'!$L$38+'TUSD BF'!$L$38+'TUSD CVA'!$L$38)*(1 - CUSTOS!$M$40)</f>
        <v>44.802994487377937</v>
      </c>
      <c r="M38" s="78">
        <f>('TUSD BE'!$M$38+'TUSD BF'!$M$38+'TUSD CVA'!$M$38)*(1 - CUSTOS!$M$40)</f>
        <v>2.1866932742415219</v>
      </c>
      <c r="N38" s="78">
        <f ca="1">('TUSD BE'!$N$38+'TUSD BF'!$N$38+'TUSD CVA'!$N$38)*(1 - CUSTOS!$M$40)</f>
        <v>0</v>
      </c>
      <c r="O38" s="78">
        <f>('TUSD BE'!$O$38+'TUSD BF'!$O$38+'TUSD CVA'!$O$38)*(1 - CUSTOS!$M$40)</f>
        <v>0</v>
      </c>
      <c r="P38" s="78">
        <f>('TUSD BE'!$P$38+'TUSD BF'!$P$38+'TUSD CVA'!$P$38)*(1 - CUSTOS!$M$40)</f>
        <v>0</v>
      </c>
      <c r="Q38" s="78">
        <f>('TUSD BE'!$Q$38+'TUSD BF'!$Q$38+'TUSD CVA'!$Q$38)*(1 - CUSTOS!$M$40)</f>
        <v>72.687719648637724</v>
      </c>
      <c r="R38" s="78">
        <f>('TUSD BE'!$R$38+'TUSD BF'!$R$38+'TUSD CVA'!$R$38)*(1 - CUSTOS!$M$40)</f>
        <v>12.613430350305483</v>
      </c>
      <c r="S38" s="78">
        <f>('TUSD BE'!$S$38+'TUSD BF'!$S$38+'TUSD CVA'!$S$38)*(1 - CUSTOS!$M$40)</f>
        <v>0</v>
      </c>
      <c r="T38" s="78">
        <f>('TUSD BE'!$U$38+'TUSD BF'!$U$38+'TUSD CVA'!$U$38)*(1 - CUSTOS!$M$40)</f>
        <v>0</v>
      </c>
      <c r="U38" s="78">
        <f>('TUSD BE'!$V$38+'TUSD BF'!$V$38+'TUSD CVA'!$V$38)*(1 - CUSTOS!$M$40)</f>
        <v>0</v>
      </c>
      <c r="V38" s="78">
        <f>('TUSD BE'!$W$38+'TUSD BF'!$W$38+'TUSD CVA'!$W$38)*(1 - CUSTOS!$M$40)</f>
        <v>0</v>
      </c>
      <c r="W38" s="78">
        <f>('TUSD BE'!$X$38+'TUSD BF'!$X$38+'TUSD CVA'!$X$38)*(1 - CUSTOS!$M$40)</f>
        <v>0</v>
      </c>
      <c r="X38" s="78">
        <f>('TUSD BE'!$Y$38+'TUSD BF'!$Y$38+'TUSD CVA'!$Y$38)*(1 - CUSTOS!$M$40)</f>
        <v>1065.0693107823886</v>
      </c>
      <c r="Y38" s="78">
        <f>('TUSD BE'!$Z$38+'TUSD BF'!$Z$38+'TUSD CVA'!$Z$38)*(1 - CUSTOS!$M$40)</f>
        <v>0</v>
      </c>
      <c r="Z38" s="78">
        <f>('TUSD BE'!$AA$38+'TUSD BF'!$AA$38+'TUSD CVA'!$AA$38)*(1 - CUSTOS!$M$40)</f>
        <v>0</v>
      </c>
      <c r="AA38" s="78">
        <f>('TUSD BE'!$AC$38+'TUSD BF'!$AC$38+'TUSD CVA'!$AC$38)*(1 - CUSTOS!$M$40)</f>
        <v>1355.4424665724327</v>
      </c>
      <c r="AB38" s="78">
        <f ca="1">('TUSD BE'!$AE$38+'TUSD BF'!$AE$38+'TUSD CVA'!$AE$38)*(1 - CUSTOS!$M$40)</f>
        <v>0</v>
      </c>
      <c r="AC38" s="78">
        <f ca="1">('TUSD BE'!$AF$38+'TUSD BF'!$AF$38+'TUSD CVA'!$AF$38)*(1 - CUSTOS!$M$40)</f>
        <v>0</v>
      </c>
      <c r="AD38" s="78">
        <f>('TUSD BE'!$AH$38+'TUSD BF'!$AH$38+'TUSD CVA'!$AH$38)*(1 - CUSTOS!$M$40)</f>
        <v>20.785991422143898</v>
      </c>
      <c r="AE38" s="78">
        <f>('TUSD BE'!$AI$38+'TUSD BF'!$AI$38+'TUSD CVA'!$AI$38)*(1 - CUSTOS!$M$40)</f>
        <v>0</v>
      </c>
      <c r="AF38" s="78">
        <f ca="1">('TUSD BE'!$AJ$38+'TUSD BF'!$AJ$38+'TUSD CVA'!$AJ$38)*(1 - CUSTOS!$M$40)</f>
        <v>2.8387670401958802</v>
      </c>
      <c r="AG38" s="78">
        <f ca="1">('TUSD BE'!$AK$38+'TUSD BF'!$AK$38+'TUSD CVA'!$AK$38)*(1 - CUSTOS!$M$40)</f>
        <v>0</v>
      </c>
      <c r="AI38" s="78">
        <v>0</v>
      </c>
      <c r="AJ38" s="78">
        <v>1.8602427011338301</v>
      </c>
      <c r="AK38" s="78">
        <v>0</v>
      </c>
      <c r="AL38" s="78">
        <v>0</v>
      </c>
      <c r="AM38" s="78">
        <v>0</v>
      </c>
      <c r="AN38" s="78">
        <v>94.117113953581807</v>
      </c>
      <c r="AO38" s="78">
        <v>7.8398321454539497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516.57494667640799</v>
      </c>
      <c r="AV38" s="78">
        <v>0</v>
      </c>
      <c r="AW38" s="78">
        <v>0</v>
      </c>
      <c r="AX38" s="78">
        <v>1139.7655356089999</v>
      </c>
      <c r="AY38" s="78">
        <v>36.517037390834297</v>
      </c>
      <c r="AZ38" s="78">
        <v>0</v>
      </c>
      <c r="BA38" s="78">
        <v>22.2997984786929</v>
      </c>
      <c r="BB38" s="78">
        <v>0</v>
      </c>
      <c r="BC38" s="78">
        <v>0</v>
      </c>
      <c r="BD38" s="78">
        <v>0</v>
      </c>
    </row>
    <row r="39" spans="1:56" ht="11.25" customHeight="1" x14ac:dyDescent="0.3">
      <c r="A39" s="125"/>
      <c r="B39" s="125"/>
      <c r="C39" s="125"/>
      <c r="D39" s="125"/>
      <c r="E39" s="125"/>
      <c r="F39" s="125"/>
      <c r="G39" s="21" t="s">
        <v>80</v>
      </c>
      <c r="H39" s="21" t="s">
        <v>67</v>
      </c>
      <c r="I39" s="21">
        <f>'MERCADO TUSD'!$U$36</f>
        <v>0</v>
      </c>
      <c r="J39" s="17"/>
      <c r="L39" s="78">
        <f>('TUSD BE'!$L$39+'TUSD BF'!$L$39+'TUSD CVA'!$L$39)*(1 - CUSTOS!$M$40)</f>
        <v>44.802994487377937</v>
      </c>
      <c r="M39" s="78">
        <f>('TUSD BE'!$M$39+'TUSD BF'!$M$39+'TUSD CVA'!$M$39)*(1 - CUSTOS!$M$40)</f>
        <v>2.1866932742415219</v>
      </c>
      <c r="N39" s="78">
        <f ca="1">('TUSD BE'!$N$39+'TUSD BF'!$N$39+'TUSD CVA'!$N$39)*(1 - CUSTOS!$M$40)</f>
        <v>0</v>
      </c>
      <c r="O39" s="78">
        <f>('TUSD BE'!$O$39+'TUSD BF'!$O$39+'TUSD CVA'!$O$39)*(1 - CUSTOS!$M$40)</f>
        <v>0</v>
      </c>
      <c r="P39" s="78">
        <f>('TUSD BE'!$P$39+'TUSD BF'!$P$39+'TUSD CVA'!$P$39)*(1 - CUSTOS!$M$40)</f>
        <v>0</v>
      </c>
      <c r="Q39" s="78">
        <f>('TUSD BE'!$Q$39+'TUSD BF'!$Q$39+'TUSD CVA'!$Q$39)*(1 - CUSTOS!$M$40)</f>
        <v>72.687719648637724</v>
      </c>
      <c r="R39" s="78">
        <f>('TUSD BE'!$R$39+'TUSD BF'!$R$39+'TUSD CVA'!$R$39)*(1 - CUSTOS!$M$40)</f>
        <v>12.613430350305483</v>
      </c>
      <c r="S39" s="78">
        <f>('TUSD BE'!$S$39+'TUSD BF'!$S$39+'TUSD CVA'!$S$39)*(1 - CUSTOS!$M$40)</f>
        <v>0</v>
      </c>
      <c r="T39" s="78">
        <f>('TUSD BE'!$U$39+'TUSD BF'!$U$39+'TUSD CVA'!$U$39)*(1 - CUSTOS!$M$40)</f>
        <v>0</v>
      </c>
      <c r="U39" s="78">
        <f>('TUSD BE'!$V$39+'TUSD BF'!$V$39+'TUSD CVA'!$V$39)*(1 - CUSTOS!$M$40)</f>
        <v>0</v>
      </c>
      <c r="V39" s="78">
        <f>('TUSD BE'!$W$39+'TUSD BF'!$W$39+'TUSD CVA'!$W$39)*(1 - CUSTOS!$M$40)</f>
        <v>0</v>
      </c>
      <c r="W39" s="78">
        <f>('TUSD BE'!$X$39+'TUSD BF'!$X$39+'TUSD CVA'!$X$39)*(1 - CUSTOS!$M$40)</f>
        <v>0</v>
      </c>
      <c r="X39" s="78">
        <f>('TUSD BE'!$Y$39+'TUSD BF'!$Y$39+'TUSD CVA'!$Y$39)*(1 - CUSTOS!$M$40)</f>
        <v>639.0395176945874</v>
      </c>
      <c r="Y39" s="78">
        <f>('TUSD BE'!$Z$39+'TUSD BF'!$Z$39+'TUSD CVA'!$Z$39)*(1 - CUSTOS!$M$40)</f>
        <v>0</v>
      </c>
      <c r="Z39" s="78">
        <f>('TUSD BE'!$AA$39+'TUSD BF'!$AA$39+'TUSD CVA'!$AA$39)*(1 - CUSTOS!$M$40)</f>
        <v>0</v>
      </c>
      <c r="AA39" s="78">
        <f>('TUSD BE'!$AC$39+'TUSD BF'!$AC$39+'TUSD CVA'!$AC$39)*(1 - CUSTOS!$M$40)</f>
        <v>813.26549966313382</v>
      </c>
      <c r="AB39" s="78">
        <f ca="1">('TUSD BE'!$AE$39+'TUSD BF'!$AE$39+'TUSD CVA'!$AE$39)*(1 - CUSTOS!$M$40)</f>
        <v>0</v>
      </c>
      <c r="AC39" s="78">
        <f ca="1">('TUSD BE'!$AF$39+'TUSD BF'!$AF$39+'TUSD CVA'!$AF$39)*(1 - CUSTOS!$M$40)</f>
        <v>0</v>
      </c>
      <c r="AD39" s="78">
        <f>('TUSD BE'!$AH$39+'TUSD BF'!$AH$39+'TUSD CVA'!$AH$39)*(1 - CUSTOS!$M$40)</f>
        <v>20.785991422143898</v>
      </c>
      <c r="AE39" s="78">
        <f>('TUSD BE'!$AI$39+'TUSD BF'!$AI$39+'TUSD CVA'!$AI$39)*(1 - CUSTOS!$M$40)</f>
        <v>0</v>
      </c>
      <c r="AF39" s="78">
        <f ca="1">('TUSD BE'!$AJ$39+'TUSD BF'!$AJ$39+'TUSD CVA'!$AJ$39)*(1 - CUSTOS!$M$40)</f>
        <v>2.8387670401958802</v>
      </c>
      <c r="AG39" s="78">
        <f ca="1">('TUSD BE'!$AK$39+'TUSD BF'!$AK$39+'TUSD CVA'!$AK$39)*(1 - CUSTOS!$M$40)</f>
        <v>0</v>
      </c>
      <c r="AI39" s="78">
        <v>0</v>
      </c>
      <c r="AJ39" s="78">
        <v>1.8602427011338301</v>
      </c>
      <c r="AK39" s="78">
        <v>0</v>
      </c>
      <c r="AL39" s="78">
        <v>0</v>
      </c>
      <c r="AM39" s="78">
        <v>0</v>
      </c>
      <c r="AN39" s="78">
        <v>94.117113953581807</v>
      </c>
      <c r="AO39" s="78">
        <v>7.8398321454539497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309.94399725908301</v>
      </c>
      <c r="AV39" s="78">
        <v>0</v>
      </c>
      <c r="AW39" s="78">
        <v>0</v>
      </c>
      <c r="AX39" s="78">
        <v>683.859390344914</v>
      </c>
      <c r="AY39" s="78">
        <v>22.833795784284298</v>
      </c>
      <c r="AZ39" s="78">
        <v>0</v>
      </c>
      <c r="BA39" s="78">
        <v>22.2997984786929</v>
      </c>
      <c r="BB39" s="78">
        <v>0</v>
      </c>
      <c r="BC39" s="78">
        <v>0</v>
      </c>
      <c r="BD39" s="78">
        <v>0</v>
      </c>
    </row>
    <row r="40" spans="1:56" ht="11.25" customHeight="1" x14ac:dyDescent="0.3">
      <c r="A40" s="125"/>
      <c r="B40" s="125"/>
      <c r="C40" s="125"/>
      <c r="D40" s="125"/>
      <c r="E40" s="125"/>
      <c r="F40" s="125"/>
      <c r="G40" s="21" t="s">
        <v>69</v>
      </c>
      <c r="H40" s="21" t="s">
        <v>67</v>
      </c>
      <c r="I40" s="21">
        <f>'MERCADO TUSD'!$U$37</f>
        <v>0</v>
      </c>
      <c r="J40" s="17"/>
      <c r="L40" s="78">
        <f>('TUSD BE'!$L$40+'TUSD BF'!$L$40+'TUSD CVA'!$L$40)*(1 - CUSTOS!$M$40)</f>
        <v>44.802994487377937</v>
      </c>
      <c r="M40" s="78">
        <f>('TUSD BE'!$M$40+'TUSD BF'!$M$40+'TUSD CVA'!$M$40)*(1 - CUSTOS!$M$40)</f>
        <v>2.1866932742415219</v>
      </c>
      <c r="N40" s="78">
        <f ca="1">('TUSD BE'!$N$40+'TUSD BF'!$N$40+'TUSD CVA'!$N$40)*(1 - CUSTOS!$M$40)</f>
        <v>0</v>
      </c>
      <c r="O40" s="78">
        <f>('TUSD BE'!$O$40+'TUSD BF'!$O$40+'TUSD CVA'!$O$40)*(1 - CUSTOS!$M$40)</f>
        <v>0</v>
      </c>
      <c r="P40" s="78">
        <f>('TUSD BE'!$P$40+'TUSD BF'!$P$40+'TUSD CVA'!$P$40)*(1 - CUSTOS!$M$40)</f>
        <v>0</v>
      </c>
      <c r="Q40" s="78">
        <f>('TUSD BE'!$Q$40+'TUSD BF'!$Q$40+'TUSD CVA'!$Q$40)*(1 - CUSTOS!$M$40)</f>
        <v>72.687719648637724</v>
      </c>
      <c r="R40" s="78">
        <f>('TUSD BE'!$R$40+'TUSD BF'!$R$40+'TUSD CVA'!$R$40)*(1 - CUSTOS!$M$40)</f>
        <v>12.613430350305483</v>
      </c>
      <c r="S40" s="78">
        <f>('TUSD BE'!$S$40+'TUSD BF'!$S$40+'TUSD CVA'!$S$40)*(1 - CUSTOS!$M$40)</f>
        <v>0</v>
      </c>
      <c r="T40" s="78">
        <f>('TUSD BE'!$U$40+'TUSD BF'!$U$40+'TUSD CVA'!$U$40)*(1 - CUSTOS!$M$40)</f>
        <v>0</v>
      </c>
      <c r="U40" s="78">
        <f>('TUSD BE'!$V$40+'TUSD BF'!$V$40+'TUSD CVA'!$V$40)*(1 - CUSTOS!$M$40)</f>
        <v>0</v>
      </c>
      <c r="V40" s="78">
        <f>('TUSD BE'!$W$40+'TUSD BF'!$W$40+'TUSD CVA'!$W$40)*(1 - CUSTOS!$M$40)</f>
        <v>0</v>
      </c>
      <c r="W40" s="78">
        <f>('TUSD BE'!$X$40+'TUSD BF'!$X$40+'TUSD CVA'!$X$40)*(1 - CUSTOS!$M$40)</f>
        <v>0</v>
      </c>
      <c r="X40" s="78">
        <f>('TUSD BE'!$Y$40+'TUSD BF'!$Y$40+'TUSD CVA'!$Y$40)*(1 - CUSTOS!$M$40)</f>
        <v>213.01475676181639</v>
      </c>
      <c r="Y40" s="78">
        <f>('TUSD BE'!$Z$40+'TUSD BF'!$Z$40+'TUSD CVA'!$Z$40)*(1 - CUSTOS!$M$40)</f>
        <v>0</v>
      </c>
      <c r="Z40" s="78">
        <f>('TUSD BE'!$AA$40+'TUSD BF'!$AA$40+'TUSD CVA'!$AA$40)*(1 - CUSTOS!$M$40)</f>
        <v>0</v>
      </c>
      <c r="AA40" s="78">
        <f>('TUSD BE'!$AC$40+'TUSD BF'!$AC$40+'TUSD CVA'!$AC$40)*(1 - CUSTOS!$M$40)</f>
        <v>271.08863135220713</v>
      </c>
      <c r="AB40" s="78">
        <f ca="1">('TUSD BE'!$AE$40+'TUSD BF'!$AE$40+'TUSD CVA'!$AE$40)*(1 - CUSTOS!$M$40)</f>
        <v>0</v>
      </c>
      <c r="AC40" s="78">
        <f ca="1">('TUSD BE'!$AF$40+'TUSD BF'!$AF$40+'TUSD CVA'!$AF$40)*(1 - CUSTOS!$M$40)</f>
        <v>0</v>
      </c>
      <c r="AD40" s="78">
        <f>('TUSD BE'!$AH$40+'TUSD BF'!$AH$40+'TUSD CVA'!$AH$40)*(1 - CUSTOS!$M$40)</f>
        <v>20.785991422143898</v>
      </c>
      <c r="AE40" s="78">
        <f>('TUSD BE'!$AI$40+'TUSD BF'!$AI$40+'TUSD CVA'!$AI$40)*(1 - CUSTOS!$M$40)</f>
        <v>0</v>
      </c>
      <c r="AF40" s="78">
        <f ca="1">('TUSD BE'!$AJ$40+'TUSD BF'!$AJ$40+'TUSD CVA'!$AJ$40)*(1 - CUSTOS!$M$40)</f>
        <v>2.8387670401958802</v>
      </c>
      <c r="AG40" s="78">
        <f ca="1">('TUSD BE'!$AK$40+'TUSD BF'!$AK$40+'TUSD CVA'!$AK$40)*(1 - CUSTOS!$M$40)</f>
        <v>0</v>
      </c>
      <c r="AI40" s="78">
        <v>0</v>
      </c>
      <c r="AJ40" s="78">
        <v>1.8602427011338301</v>
      </c>
      <c r="AK40" s="78">
        <v>0</v>
      </c>
      <c r="AL40" s="78">
        <v>0</v>
      </c>
      <c r="AM40" s="78">
        <v>0</v>
      </c>
      <c r="AN40" s="78">
        <v>94.117113953581807</v>
      </c>
      <c r="AO40" s="78">
        <v>7.8398321454539497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103.315430583809</v>
      </c>
      <c r="AV40" s="78">
        <v>0</v>
      </c>
      <c r="AW40" s="78">
        <v>0</v>
      </c>
      <c r="AX40" s="78">
        <v>227.953245080832</v>
      </c>
      <c r="AY40" s="78">
        <v>9.1506104459078799</v>
      </c>
      <c r="AZ40" s="78">
        <v>0</v>
      </c>
      <c r="BA40" s="78">
        <v>22.2997984786929</v>
      </c>
      <c r="BB40" s="78">
        <v>0</v>
      </c>
      <c r="BC40" s="78">
        <v>0</v>
      </c>
      <c r="BD40" s="78">
        <v>0</v>
      </c>
    </row>
    <row r="41" spans="1:56" ht="11.25" customHeight="1" x14ac:dyDescent="0.3">
      <c r="A41" s="125"/>
      <c r="B41" s="80" t="s">
        <v>23</v>
      </c>
      <c r="C41" s="80" t="s">
        <v>41</v>
      </c>
      <c r="D41" s="80" t="s">
        <v>86</v>
      </c>
      <c r="E41" s="80" t="s">
        <v>25</v>
      </c>
      <c r="F41" s="80" t="s">
        <v>25</v>
      </c>
      <c r="G41" s="21" t="s">
        <v>74</v>
      </c>
      <c r="H41" s="21" t="s">
        <v>67</v>
      </c>
      <c r="I41" s="21">
        <f>'MERCADO TUSD'!$U$38</f>
        <v>0</v>
      </c>
      <c r="J41" s="17"/>
      <c r="L41" s="78">
        <f>('TUSD BE'!$L$41+'TUSD BF'!$L$41+'TUSD CVA'!$L$41)*(1 - CUSTOS!$M$40)</f>
        <v>44.802994487377937</v>
      </c>
      <c r="M41" s="78">
        <f>('TUSD BE'!$M$41+'TUSD BF'!$M$41+'TUSD CVA'!$M$41)*(1 - CUSTOS!$M$40)</f>
        <v>2.1866932742415219</v>
      </c>
      <c r="N41" s="78">
        <f ca="1">('TUSD BE'!$N$41+'TUSD BF'!$N$41+'TUSD CVA'!$N$41)*(1 - CUSTOS!$M$40)</f>
        <v>0</v>
      </c>
      <c r="O41" s="78">
        <f>('TUSD BE'!$O$41+'TUSD BF'!$O$41+'TUSD CVA'!$O$41)*(1 - CUSTOS!$M$40)</f>
        <v>0</v>
      </c>
      <c r="P41" s="78">
        <f>('TUSD BE'!$P$41+'TUSD BF'!$P$41+'TUSD CVA'!$P$41)*(1 - CUSTOS!$M$40)</f>
        <v>0</v>
      </c>
      <c r="Q41" s="78">
        <f>('TUSD BE'!$Q$41+'TUSD BF'!$Q$41+'TUSD CVA'!$Q$41)*(1 - CUSTOS!$M$40)</f>
        <v>72.687719648637724</v>
      </c>
      <c r="R41" s="78">
        <f>('TUSD BE'!$R$41+'TUSD BF'!$R$41+'TUSD CVA'!$R$41)*(1 - CUSTOS!$M$40)</f>
        <v>12.613430350305483</v>
      </c>
      <c r="S41" s="78">
        <f>('TUSD BE'!$S$41+'TUSD BF'!$S$41+'TUSD CVA'!$S$41)*(1 - CUSTOS!$M$40)</f>
        <v>0</v>
      </c>
      <c r="T41" s="78">
        <f>('TUSD BE'!$U$41+'TUSD BF'!$U$41+'TUSD CVA'!$U$41)*(1 - CUSTOS!$M$40)</f>
        <v>0</v>
      </c>
      <c r="U41" s="78">
        <f>('TUSD BE'!$V$41+'TUSD BF'!$V$41+'TUSD CVA'!$V$41)*(1 - CUSTOS!$M$40)</f>
        <v>0</v>
      </c>
      <c r="V41" s="78">
        <f>('TUSD BE'!$W$41+'TUSD BF'!$W$41+'TUSD CVA'!$W$41)*(1 - CUSTOS!$M$40)</f>
        <v>0</v>
      </c>
      <c r="W41" s="78">
        <f>('TUSD BE'!$X$41+'TUSD BF'!$X$41+'TUSD CVA'!$X$41)*(1 - CUSTOS!$M$40)</f>
        <v>0</v>
      </c>
      <c r="X41" s="78">
        <f>('TUSD BE'!$Y$41+'TUSD BF'!$Y$41+'TUSD CVA'!$Y$41)*(1 - CUSTOS!$M$40)</f>
        <v>355.02356953441006</v>
      </c>
      <c r="Y41" s="78">
        <f>('TUSD BE'!$Z$41+'TUSD BF'!$Z$41+'TUSD CVA'!$Z$41)*(1 - CUSTOS!$M$40)</f>
        <v>0</v>
      </c>
      <c r="Z41" s="78">
        <f>('TUSD BE'!$AA$41+'TUSD BF'!$AA$41+'TUSD CVA'!$AA$41)*(1 - CUSTOS!$M$40)</f>
        <v>0</v>
      </c>
      <c r="AA41" s="78">
        <f>('TUSD BE'!$AC$41+'TUSD BF'!$AC$41+'TUSD CVA'!$AC$41)*(1 - CUSTOS!$M$40)</f>
        <v>451.81412265802027</v>
      </c>
      <c r="AB41" s="78">
        <f ca="1">('TUSD BE'!$AE$41+'TUSD BF'!$AE$41+'TUSD CVA'!$AE$41)*(1 - CUSTOS!$M$40)</f>
        <v>0</v>
      </c>
      <c r="AC41" s="78">
        <f ca="1">('TUSD BE'!$AF$41+'TUSD BF'!$AF$41+'TUSD CVA'!$AF$41)*(1 - CUSTOS!$M$40)</f>
        <v>0</v>
      </c>
      <c r="AD41" s="78">
        <f>('TUSD BE'!$AH$41+'TUSD BF'!$AH$41+'TUSD CVA'!$AH$41)*(1 - CUSTOS!$M$40)</f>
        <v>20.785991422143898</v>
      </c>
      <c r="AE41" s="78">
        <f>('TUSD BE'!$AI$41+'TUSD BF'!$AI$41+'TUSD CVA'!$AI$41)*(1 - CUSTOS!$M$40)</f>
        <v>0</v>
      </c>
      <c r="AF41" s="78">
        <f ca="1">('TUSD BE'!$AJ$41+'TUSD BF'!$AJ$41+'TUSD CVA'!$AJ$41)*(1 - CUSTOS!$M$40)</f>
        <v>2.8387670401958802</v>
      </c>
      <c r="AG41" s="78">
        <f ca="1">('TUSD BE'!$AK$41+'TUSD BF'!$AK$41+'TUSD CVA'!$AK$41)*(1 - CUSTOS!$M$40)</f>
        <v>0</v>
      </c>
      <c r="AI41" s="78">
        <v>0</v>
      </c>
      <c r="AJ41" s="78">
        <v>1.8602427011338301</v>
      </c>
      <c r="AK41" s="78">
        <v>0</v>
      </c>
      <c r="AL41" s="78">
        <v>0</v>
      </c>
      <c r="AM41" s="78">
        <v>0</v>
      </c>
      <c r="AN41" s="78">
        <v>94.117113953581807</v>
      </c>
      <c r="AO41" s="78">
        <v>7.8398321454539497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172.19185480811601</v>
      </c>
      <c r="AV41" s="78">
        <v>0</v>
      </c>
      <c r="AW41" s="78">
        <v>0</v>
      </c>
      <c r="AX41" s="78">
        <v>379.92184520299799</v>
      </c>
      <c r="AY41" s="78">
        <v>13.711675562693999</v>
      </c>
      <c r="AZ41" s="78">
        <v>0</v>
      </c>
      <c r="BA41" s="78">
        <v>22.2997984786929</v>
      </c>
      <c r="BB41" s="78">
        <v>0</v>
      </c>
      <c r="BC41" s="78">
        <v>0</v>
      </c>
      <c r="BD41" s="78">
        <v>0</v>
      </c>
    </row>
    <row r="42" spans="1:56" ht="11.25" customHeight="1" x14ac:dyDescent="0.3">
      <c r="A42" s="125"/>
      <c r="B42" s="125" t="s">
        <v>84</v>
      </c>
      <c r="C42" s="125" t="s">
        <v>41</v>
      </c>
      <c r="D42" s="80" t="s">
        <v>25</v>
      </c>
      <c r="E42" s="80" t="s">
        <v>25</v>
      </c>
      <c r="F42" s="80" t="s">
        <v>25</v>
      </c>
      <c r="G42" s="21" t="s">
        <v>74</v>
      </c>
      <c r="H42" s="21" t="s">
        <v>67</v>
      </c>
      <c r="I42" s="21">
        <f>'MERCADO TUSD'!$U$39</f>
        <v>0</v>
      </c>
      <c r="J42" s="17"/>
      <c r="L42" s="78">
        <f>('TUSD BE'!$L$42+'TUSD BF'!$L$42+'TUSD CVA'!$L$42)*(1 - CUSTOS!$M$38)</f>
        <v>45.77697262840789</v>
      </c>
      <c r="M42" s="78">
        <f>('TUSD BE'!$M$42+'TUSD BF'!$M$42+'TUSD CVA'!$M$42)*(1 - CUSTOS!$M$38)</f>
        <v>2.2342300845511196</v>
      </c>
      <c r="N42" s="78">
        <f ca="1">('TUSD BE'!$N$42+'TUSD BF'!$N$42+'TUSD CVA'!$N$42)*(1 - CUSTOS!$M$38)</f>
        <v>0</v>
      </c>
      <c r="O42" s="78">
        <f>('TUSD BE'!$O$42+'TUSD BF'!$O$42+'TUSD CVA'!$O$42)*(1 - CUSTOS!$M$38)</f>
        <v>0</v>
      </c>
      <c r="P42" s="78">
        <f>('TUSD BE'!$P$42+'TUSD BF'!$P$42+'TUSD CVA'!$P$42)*(1 - CUSTOS!$M$38)</f>
        <v>0</v>
      </c>
      <c r="Q42" s="78">
        <f>('TUSD BE'!$Q$42+'TUSD BF'!$Q$42+'TUSD CVA'!$Q$42)*(1 - CUSTOS!$M$38)</f>
        <v>74.267887467086368</v>
      </c>
      <c r="R42" s="78">
        <f>('TUSD BE'!$R$42+'TUSD BF'!$R$42+'TUSD CVA'!$R$42)*(1 - CUSTOS!$M$38)</f>
        <v>12.88763535792082</v>
      </c>
      <c r="S42" s="78">
        <f>('TUSD BE'!$S$42+'TUSD BF'!$S$42+'TUSD CVA'!$S$42)*(1 - CUSTOS!$M$38)</f>
        <v>0</v>
      </c>
      <c r="T42" s="78">
        <f>('TUSD BE'!$U$42+'TUSD BF'!$U$42+'TUSD CVA'!$U$42)*(1 - CUSTOS!$M$38)</f>
        <v>0</v>
      </c>
      <c r="U42" s="78">
        <f>('TUSD BE'!$V$42+'TUSD BF'!$V$42+'TUSD CVA'!$V$42)*(1 - CUSTOS!$M$38)</f>
        <v>0</v>
      </c>
      <c r="V42" s="78">
        <f>('TUSD BE'!$W$42+'TUSD BF'!$W$42+'TUSD CVA'!$W$42)*(1 - CUSTOS!$M$38)</f>
        <v>0</v>
      </c>
      <c r="W42" s="78">
        <f>('TUSD BE'!$X$42+'TUSD BF'!$X$42+'TUSD CVA'!$X$42)*(1 - CUSTOS!$M$38)</f>
        <v>0</v>
      </c>
      <c r="X42" s="78">
        <f>('TUSD BE'!$Y$42+'TUSD BF'!$Y$42+'TUSD CVA'!$Y$42)*(1 - CUSTOS!$M$38)</f>
        <v>362.74147321994064</v>
      </c>
      <c r="Y42" s="78">
        <f>('TUSD BE'!$Z$42+'TUSD BF'!$Z$42+'TUSD CVA'!$Z$42)*(1 - CUSTOS!$M$38)</f>
        <v>0</v>
      </c>
      <c r="Z42" s="78">
        <f>('TUSD BE'!$AA$42+'TUSD BF'!$AA$42+'TUSD CVA'!$AA$42)*(1 - CUSTOS!$M$38)</f>
        <v>0</v>
      </c>
      <c r="AA42" s="78">
        <f>('TUSD BE'!$AC$42+'TUSD BF'!$AC$42+'TUSD CVA'!$AC$42)*(1 - CUSTOS!$M$38)</f>
        <v>461.63616880275976</v>
      </c>
      <c r="AB42" s="78">
        <f ca="1">('TUSD BE'!$AE$42+'TUSD BF'!$AE$42+'TUSD CVA'!$AE$42)*(1 - CUSTOS!$M$38)</f>
        <v>0</v>
      </c>
      <c r="AC42" s="78">
        <f ca="1">('TUSD BE'!$AF$42+'TUSD BF'!$AF$42+'TUSD CVA'!$AF$42)*(1 - CUSTOS!$M$38)</f>
        <v>0</v>
      </c>
      <c r="AD42" s="78">
        <f>('TUSD BE'!$AH$42+'TUSD BF'!$AH$42+'TUSD CVA'!$AH$42)*(1 - CUSTOS!$M$38)</f>
        <v>21.237860800886153</v>
      </c>
      <c r="AE42" s="78">
        <f>('TUSD BE'!$AI$42+'TUSD BF'!$AI$42+'TUSD CVA'!$AI$42)*(1 - CUSTOS!$M$38)</f>
        <v>0</v>
      </c>
      <c r="AF42" s="78">
        <f ca="1">('TUSD BE'!$AJ$42+'TUSD BF'!$AJ$42+'TUSD CVA'!$AJ$42)*(1 - CUSTOS!$M$38)</f>
        <v>2.90047936715666</v>
      </c>
      <c r="AG42" s="78">
        <f ca="1">('TUSD BE'!$AK$42+'TUSD BF'!$AK$42+'TUSD CVA'!$AK$42)*(1 - CUSTOS!$M$38)</f>
        <v>0</v>
      </c>
      <c r="AI42" s="78">
        <v>0</v>
      </c>
      <c r="AJ42" s="78">
        <v>1.9488256869021101</v>
      </c>
      <c r="AK42" s="78">
        <v>0</v>
      </c>
      <c r="AL42" s="78">
        <v>0</v>
      </c>
      <c r="AM42" s="78">
        <v>0</v>
      </c>
      <c r="AN42" s="78">
        <v>98.598881284704802</v>
      </c>
      <c r="AO42" s="78">
        <v>8.2131574857136602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180.39146694183501</v>
      </c>
      <c r="AV42" s="78">
        <v>0</v>
      </c>
      <c r="AW42" s="78">
        <v>0</v>
      </c>
      <c r="AX42" s="78">
        <v>398.01336164123597</v>
      </c>
      <c r="AY42" s="78">
        <v>14.364612494250901</v>
      </c>
      <c r="AZ42" s="78">
        <v>0</v>
      </c>
      <c r="BA42" s="78">
        <v>23.361693644344999</v>
      </c>
      <c r="BB42" s="78">
        <v>0</v>
      </c>
      <c r="BC42" s="78">
        <v>0</v>
      </c>
      <c r="BD42" s="78">
        <v>0</v>
      </c>
    </row>
    <row r="43" spans="1:56" ht="11.25" customHeight="1" x14ac:dyDescent="0.3">
      <c r="A43" s="125"/>
      <c r="B43" s="125"/>
      <c r="C43" s="125"/>
      <c r="D43" s="80" t="s">
        <v>85</v>
      </c>
      <c r="E43" s="80" t="s">
        <v>25</v>
      </c>
      <c r="F43" s="80" t="s">
        <v>25</v>
      </c>
      <c r="G43" s="21" t="s">
        <v>74</v>
      </c>
      <c r="H43" s="21" t="s">
        <v>67</v>
      </c>
      <c r="I43" s="21">
        <f>'MERCADO TUSD'!$U$40</f>
        <v>0</v>
      </c>
      <c r="J43" s="17"/>
      <c r="L43" s="78">
        <f>('TUSD BE'!$L$43+'TUSD BF'!$L$43+'TUSD CVA'!$L$43)*(1 - CUSTOS!$M$39)</f>
        <v>45.77697262840789</v>
      </c>
      <c r="M43" s="78">
        <f>('TUSD BE'!$M$43+'TUSD BF'!$M$43+'TUSD CVA'!$M$43)*(1 - CUSTOS!$M$39)</f>
        <v>2.2342300845511196</v>
      </c>
      <c r="N43" s="78">
        <f ca="1">('TUSD BE'!$N$43+'TUSD BF'!$N$43+'TUSD CVA'!$N$43)*(1 - CUSTOS!$M$39)</f>
        <v>0</v>
      </c>
      <c r="O43" s="78">
        <f>('TUSD BE'!$O$43+'TUSD BF'!$O$43+'TUSD CVA'!$O$43)*(1 - CUSTOS!$M$39)</f>
        <v>0</v>
      </c>
      <c r="P43" s="78">
        <f>('TUSD BE'!$P$43+'TUSD BF'!$P$43+'TUSD CVA'!$P$43)*(1 - CUSTOS!$M$39)</f>
        <v>0</v>
      </c>
      <c r="Q43" s="78">
        <f>('TUSD BE'!$Q$43+'TUSD BF'!$Q$43+'TUSD CVA'!$Q$43)*(1 - CUSTOS!$M$39)</f>
        <v>74.267887467086368</v>
      </c>
      <c r="R43" s="78">
        <f>('TUSD BE'!$R$43+'TUSD BF'!$R$43+'TUSD CVA'!$R$43)*(1 - CUSTOS!$M$39)</f>
        <v>12.88763535792082</v>
      </c>
      <c r="S43" s="78">
        <f>('TUSD BE'!$S$43+'TUSD BF'!$S$43+'TUSD CVA'!$S$43)*(1 - CUSTOS!$M$39)</f>
        <v>0</v>
      </c>
      <c r="T43" s="78">
        <f>('TUSD BE'!$U$43+'TUSD BF'!$U$43+'TUSD CVA'!$U$43)*(1 - CUSTOS!$M$39)</f>
        <v>0</v>
      </c>
      <c r="U43" s="78">
        <f>('TUSD BE'!$V$43+'TUSD BF'!$V$43+'TUSD CVA'!$V$43)*(1 - CUSTOS!$M$39)</f>
        <v>0</v>
      </c>
      <c r="V43" s="78">
        <f>('TUSD BE'!$W$43+'TUSD BF'!$W$43+'TUSD CVA'!$W$43)*(1 - CUSTOS!$M$39)</f>
        <v>0</v>
      </c>
      <c r="W43" s="78">
        <f>('TUSD BE'!$X$43+'TUSD BF'!$X$43+'TUSD CVA'!$X$43)*(1 - CUSTOS!$M$39)</f>
        <v>0</v>
      </c>
      <c r="X43" s="78">
        <f>('TUSD BE'!$Y$43+'TUSD BF'!$Y$43+'TUSD CVA'!$Y$43)*(1 - CUSTOS!$M$39)</f>
        <v>362.74147321994064</v>
      </c>
      <c r="Y43" s="78">
        <f>('TUSD BE'!$Z$43+'TUSD BF'!$Z$43+'TUSD CVA'!$Z$43)*(1 - CUSTOS!$M$39)</f>
        <v>0</v>
      </c>
      <c r="Z43" s="78">
        <f>('TUSD BE'!$AA$43+'TUSD BF'!$AA$43+'TUSD CVA'!$AA$43)*(1 - CUSTOS!$M$39)</f>
        <v>0</v>
      </c>
      <c r="AA43" s="78">
        <f>('TUSD BE'!$AC$43+'TUSD BF'!$AC$43+'TUSD CVA'!$AC$43)*(1 - CUSTOS!$M$39)</f>
        <v>461.63616880275976</v>
      </c>
      <c r="AB43" s="78">
        <f ca="1">('TUSD BE'!$AE$43+'TUSD BF'!$AE$43+'TUSD CVA'!$AE$43)*(1 - CUSTOS!$M$39)</f>
        <v>0</v>
      </c>
      <c r="AC43" s="78">
        <f ca="1">('TUSD BE'!$AF$43+'TUSD BF'!$AF$43+'TUSD CVA'!$AF$43)*(1 - CUSTOS!$M$39)</f>
        <v>0</v>
      </c>
      <c r="AD43" s="78">
        <f>('TUSD BE'!$AH$43+'TUSD BF'!$AH$43+'TUSD CVA'!$AH$43)*(1 - CUSTOS!$M$39)</f>
        <v>21.237860800886153</v>
      </c>
      <c r="AE43" s="78">
        <f>('TUSD BE'!$AI$43+'TUSD BF'!$AI$43+'TUSD CVA'!$AI$43)*(1 - CUSTOS!$M$39)</f>
        <v>0</v>
      </c>
      <c r="AF43" s="78">
        <f ca="1">('TUSD BE'!$AJ$43+'TUSD BF'!$AJ$43+'TUSD CVA'!$AJ$43)*(1 - CUSTOS!$M$39)</f>
        <v>2.90047936715666</v>
      </c>
      <c r="AG43" s="78">
        <f ca="1">('TUSD BE'!$AK$43+'TUSD BF'!$AK$43+'TUSD CVA'!$AK$43)*(1 - CUSTOS!$M$39)</f>
        <v>0</v>
      </c>
      <c r="AI43" s="78">
        <v>0</v>
      </c>
      <c r="AJ43" s="78">
        <v>1.9488256869021101</v>
      </c>
      <c r="AK43" s="78">
        <v>0</v>
      </c>
      <c r="AL43" s="78">
        <v>0</v>
      </c>
      <c r="AM43" s="78">
        <v>0</v>
      </c>
      <c r="AN43" s="78">
        <v>98.598881284704802</v>
      </c>
      <c r="AO43" s="78">
        <v>8.2131574857136602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180.39146694183501</v>
      </c>
      <c r="AV43" s="78">
        <v>0</v>
      </c>
      <c r="AW43" s="78">
        <v>0</v>
      </c>
      <c r="AX43" s="78">
        <v>398.01336164123597</v>
      </c>
      <c r="AY43" s="78">
        <v>14.364612494250901</v>
      </c>
      <c r="AZ43" s="78">
        <v>0</v>
      </c>
      <c r="BA43" s="78">
        <v>23.361693644344999</v>
      </c>
      <c r="BB43" s="78">
        <v>0</v>
      </c>
      <c r="BC43" s="78">
        <v>0</v>
      </c>
      <c r="BD43" s="78">
        <v>0</v>
      </c>
    </row>
    <row r="44" spans="1:56" ht="11.25" customHeight="1" x14ac:dyDescent="0.3">
      <c r="A44" s="125"/>
      <c r="B44" s="125"/>
      <c r="C44" s="125"/>
      <c r="D44" s="80" t="s">
        <v>86</v>
      </c>
      <c r="E44" s="80" t="s">
        <v>25</v>
      </c>
      <c r="F44" s="80" t="s">
        <v>25</v>
      </c>
      <c r="G44" s="21" t="s">
        <v>74</v>
      </c>
      <c r="H44" s="21" t="s">
        <v>67</v>
      </c>
      <c r="I44" s="21">
        <f>'MERCADO TUSD'!$U$41</f>
        <v>0</v>
      </c>
      <c r="J44" s="17"/>
      <c r="L44" s="78">
        <f>('TUSD BE'!$L$44+'TUSD BF'!$L$44+'TUSD CVA'!$L$44)*(1 - CUSTOS!$M$40)</f>
        <v>44.802994487377937</v>
      </c>
      <c r="M44" s="78">
        <f>('TUSD BE'!$M$44+'TUSD BF'!$M$44+'TUSD CVA'!$M$44)*(1 - CUSTOS!$M$40)</f>
        <v>2.1866932742415219</v>
      </c>
      <c r="N44" s="78">
        <f ca="1">('TUSD BE'!$N$44+'TUSD BF'!$N$44+'TUSD CVA'!$N$44)*(1 - CUSTOS!$M$40)</f>
        <v>0</v>
      </c>
      <c r="O44" s="78">
        <f>('TUSD BE'!$O$44+'TUSD BF'!$O$44+'TUSD CVA'!$O$44)*(1 - CUSTOS!$M$40)</f>
        <v>0</v>
      </c>
      <c r="P44" s="78">
        <f>('TUSD BE'!$P$44+'TUSD BF'!$P$44+'TUSD CVA'!$P$44)*(1 - CUSTOS!$M$40)</f>
        <v>0</v>
      </c>
      <c r="Q44" s="78">
        <f>('TUSD BE'!$Q$44+'TUSD BF'!$Q$44+'TUSD CVA'!$Q$44)*(1 - CUSTOS!$M$40)</f>
        <v>72.687719648637724</v>
      </c>
      <c r="R44" s="78">
        <f>('TUSD BE'!$R$44+'TUSD BF'!$R$44+'TUSD CVA'!$R$44)*(1 - CUSTOS!$M$40)</f>
        <v>12.613430350305483</v>
      </c>
      <c r="S44" s="78">
        <f>('TUSD BE'!$S$44+'TUSD BF'!$S$44+'TUSD CVA'!$S$44)*(1 - CUSTOS!$M$40)</f>
        <v>0</v>
      </c>
      <c r="T44" s="78">
        <f>('TUSD BE'!$U$44+'TUSD BF'!$U$44+'TUSD CVA'!$U$44)*(1 - CUSTOS!$M$40)</f>
        <v>0</v>
      </c>
      <c r="U44" s="78">
        <f>('TUSD BE'!$V$44+'TUSD BF'!$V$44+'TUSD CVA'!$V$44)*(1 - CUSTOS!$M$40)</f>
        <v>0</v>
      </c>
      <c r="V44" s="78">
        <f>('TUSD BE'!$W$44+'TUSD BF'!$W$44+'TUSD CVA'!$W$44)*(1 - CUSTOS!$M$40)</f>
        <v>0</v>
      </c>
      <c r="W44" s="78">
        <f>('TUSD BE'!$X$44+'TUSD BF'!$X$44+'TUSD CVA'!$X$44)*(1 - CUSTOS!$M$40)</f>
        <v>0</v>
      </c>
      <c r="X44" s="78">
        <f>('TUSD BE'!$Y$44+'TUSD BF'!$Y$44+'TUSD CVA'!$Y$44)*(1 - CUSTOS!$M$40)</f>
        <v>355.02356953441006</v>
      </c>
      <c r="Y44" s="78">
        <f>('TUSD BE'!$Z$44+'TUSD BF'!$Z$44+'TUSD CVA'!$Z$44)*(1 - CUSTOS!$M$40)</f>
        <v>0</v>
      </c>
      <c r="Z44" s="78">
        <f>('TUSD BE'!$AA$44+'TUSD BF'!$AA$44+'TUSD CVA'!$AA$44)*(1 - CUSTOS!$M$40)</f>
        <v>0</v>
      </c>
      <c r="AA44" s="78">
        <f>('TUSD BE'!$AC$44+'TUSD BF'!$AC$44+'TUSD CVA'!$AC$44)*(1 - CUSTOS!$M$40)</f>
        <v>451.81412265802027</v>
      </c>
      <c r="AB44" s="78">
        <f ca="1">('TUSD BE'!$AE$44+'TUSD BF'!$AE$44+'TUSD CVA'!$AE$44)*(1 - CUSTOS!$M$40)</f>
        <v>0</v>
      </c>
      <c r="AC44" s="78">
        <f ca="1">('TUSD BE'!$AF$44+'TUSD BF'!$AF$44+'TUSD CVA'!$AF$44)*(1 - CUSTOS!$M$40)</f>
        <v>0</v>
      </c>
      <c r="AD44" s="78">
        <f>('TUSD BE'!$AH$44+'TUSD BF'!$AH$44+'TUSD CVA'!$AH$44)*(1 - CUSTOS!$M$40)</f>
        <v>20.785991422143898</v>
      </c>
      <c r="AE44" s="78">
        <f>('TUSD BE'!$AI$44+'TUSD BF'!$AI$44+'TUSD CVA'!$AI$44)*(1 - CUSTOS!$M$40)</f>
        <v>0</v>
      </c>
      <c r="AF44" s="78">
        <f ca="1">('TUSD BE'!$AJ$44+'TUSD BF'!$AJ$44+'TUSD CVA'!$AJ$44)*(1 - CUSTOS!$M$40)</f>
        <v>2.8387670401958802</v>
      </c>
      <c r="AG44" s="78">
        <f ca="1">('TUSD BE'!$AK$44+'TUSD BF'!$AK$44+'TUSD CVA'!$AK$44)*(1 - CUSTOS!$M$40)</f>
        <v>0</v>
      </c>
      <c r="AI44" s="78">
        <v>0</v>
      </c>
      <c r="AJ44" s="78">
        <v>1.8602427011338301</v>
      </c>
      <c r="AK44" s="78">
        <v>0</v>
      </c>
      <c r="AL44" s="78">
        <v>0</v>
      </c>
      <c r="AM44" s="78">
        <v>0</v>
      </c>
      <c r="AN44" s="78">
        <v>94.117113953581807</v>
      </c>
      <c r="AO44" s="78">
        <v>7.8398321454539497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172.19185480811601</v>
      </c>
      <c r="AV44" s="78">
        <v>0</v>
      </c>
      <c r="AW44" s="78">
        <v>0</v>
      </c>
      <c r="AX44" s="78">
        <v>379.92184520299799</v>
      </c>
      <c r="AY44" s="78">
        <v>13.711675562693999</v>
      </c>
      <c r="AZ44" s="78">
        <v>0</v>
      </c>
      <c r="BA44" s="78">
        <v>22.2997984786929</v>
      </c>
      <c r="BB44" s="78">
        <v>0</v>
      </c>
      <c r="BC44" s="78">
        <v>0</v>
      </c>
      <c r="BD44" s="78">
        <v>0</v>
      </c>
    </row>
    <row r="45" spans="1:56" ht="11.25" customHeight="1" x14ac:dyDescent="0.3">
      <c r="A45" s="125" t="s">
        <v>33</v>
      </c>
      <c r="B45" s="125" t="s">
        <v>82</v>
      </c>
      <c r="C45" s="125" t="s">
        <v>25</v>
      </c>
      <c r="D45" s="125" t="s">
        <v>25</v>
      </c>
      <c r="E45" s="125" t="s">
        <v>25</v>
      </c>
      <c r="F45" s="125" t="s">
        <v>25</v>
      </c>
      <c r="G45" s="21" t="s">
        <v>68</v>
      </c>
      <c r="H45" s="21" t="s">
        <v>67</v>
      </c>
      <c r="I45" s="21">
        <f>'MERCADO TUSD'!$U$42</f>
        <v>0</v>
      </c>
      <c r="J45" s="17"/>
      <c r="L45" s="78">
        <f>('TUSD BE'!$L$45+'TUSD BF'!$L$45+'TUSD CVA'!$L$45)*1</f>
        <v>48.698907051497756</v>
      </c>
      <c r="M45" s="78">
        <f>('TUSD BE'!$M$45+'TUSD BF'!$M$45+'TUSD CVA'!$M$45)*1</f>
        <v>2.3768405154799148</v>
      </c>
      <c r="N45" s="78">
        <f ca="1">('TUSD BE'!$N$45+'TUSD BF'!$N$45+'TUSD CVA'!$N$45)*1</f>
        <v>0</v>
      </c>
      <c r="O45" s="78">
        <f>('TUSD BE'!$O$45+'TUSD BF'!$O$45+'TUSD CVA'!$O$45)*1</f>
        <v>0</v>
      </c>
      <c r="P45" s="78">
        <f>('TUSD BE'!$P$45+'TUSD BF'!$P$45+'TUSD CVA'!$P$45)*1</f>
        <v>0</v>
      </c>
      <c r="Q45" s="78">
        <f>('TUSD BE'!$Q$45+'TUSD BF'!$Q$45+'TUSD CVA'!$Q$45)*1</f>
        <v>79.008390922432312</v>
      </c>
      <c r="R45" s="78">
        <f>('TUSD BE'!$R$45+'TUSD BF'!$R$45+'TUSD CVA'!$R$45)*1</f>
        <v>13.71025038076683</v>
      </c>
      <c r="S45" s="78">
        <f>('TUSD BE'!$S$45+'TUSD BF'!$S$45+'TUSD CVA'!$S$45)*1</f>
        <v>0</v>
      </c>
      <c r="T45" s="78">
        <f>('TUSD BE'!$U$45+'TUSD BF'!$U$45+'TUSD CVA'!$U$45)*1</f>
        <v>0</v>
      </c>
      <c r="U45" s="78">
        <f>('TUSD BE'!$V$45+'TUSD BF'!$V$45+'TUSD CVA'!$V$45)*1</f>
        <v>0</v>
      </c>
      <c r="V45" s="78">
        <f>('TUSD BE'!$W$45+'TUSD BF'!$W$45+'TUSD CVA'!$W$45)*1</f>
        <v>0</v>
      </c>
      <c r="W45" s="78">
        <f>('TUSD BE'!$X$45+'TUSD BF'!$X$45+'TUSD CVA'!$X$45)*1</f>
        <v>0</v>
      </c>
      <c r="X45" s="78">
        <f>('TUSD BE'!$Y$45+'TUSD BF'!$Y$45+'TUSD CVA'!$Y$45)*1</f>
        <v>1312.0406789614794</v>
      </c>
      <c r="Y45" s="78">
        <f>('TUSD BE'!$Z$45+'TUSD BF'!$Z$45+'TUSD CVA'!$Z$45)*1</f>
        <v>0</v>
      </c>
      <c r="Z45" s="78">
        <f>('TUSD BE'!$AA$45+'TUSD BF'!$AA$45+'TUSD CVA'!$AA$45)*1</f>
        <v>0</v>
      </c>
      <c r="AA45" s="78">
        <f>('TUSD BE'!$AC$45+'TUSD BF'!$AC$45+'TUSD CVA'!$AC$45)*1</f>
        <v>1669.7478874745843</v>
      </c>
      <c r="AB45" s="78">
        <f ca="1">('TUSD BE'!$AE$45+'TUSD BF'!$AE$45+'TUSD CVA'!$AE$45)*1</f>
        <v>0</v>
      </c>
      <c r="AC45" s="78">
        <f ca="1">('TUSD BE'!$AF$45+'TUSD BF'!$AF$45+'TUSD CVA'!$AF$45)*1</f>
        <v>0</v>
      </c>
      <c r="AD45" s="78">
        <f>('TUSD BE'!$AH$45+'TUSD BF'!$AH$45+'TUSD CVA'!$AH$45)*1</f>
        <v>22.593468937112931</v>
      </c>
      <c r="AE45" s="78">
        <f>('TUSD BE'!$AI$45+'TUSD BF'!$AI$45+'TUSD CVA'!$AI$45)*1</f>
        <v>0</v>
      </c>
      <c r="AF45" s="78">
        <f ca="1">('TUSD BE'!$AJ$45+'TUSD BF'!$AJ$45+'TUSD CVA'!$AJ$45)*1</f>
        <v>3.0856163480390002</v>
      </c>
      <c r="AG45" s="78">
        <f ca="1">('TUSD BE'!$AK$45+'TUSD BF'!$AK$45+'TUSD CVA'!$AK$45)*1</f>
        <v>0</v>
      </c>
      <c r="AI45" s="78">
        <v>0</v>
      </c>
      <c r="AJ45" s="78">
        <v>2.2145746442069401</v>
      </c>
      <c r="AK45" s="78">
        <v>0</v>
      </c>
      <c r="AL45" s="78">
        <v>0</v>
      </c>
      <c r="AM45" s="78">
        <v>0</v>
      </c>
      <c r="AN45" s="78">
        <v>112.044183278074</v>
      </c>
      <c r="AO45" s="78">
        <v>9.3331335064927892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696.96560256142504</v>
      </c>
      <c r="AV45" s="78">
        <v>0</v>
      </c>
      <c r="AW45" s="78">
        <v>0</v>
      </c>
      <c r="AX45" s="78">
        <v>1537.7788356613801</v>
      </c>
      <c r="AY45" s="78">
        <v>48.9024975245459</v>
      </c>
      <c r="AZ45" s="78">
        <v>0</v>
      </c>
      <c r="BA45" s="78">
        <v>26.5473791413011</v>
      </c>
      <c r="BB45" s="78">
        <v>0</v>
      </c>
      <c r="BC45" s="78">
        <v>0</v>
      </c>
      <c r="BD45" s="78">
        <v>0</v>
      </c>
    </row>
    <row r="46" spans="1:56" ht="11.25" customHeight="1" x14ac:dyDescent="0.3">
      <c r="A46" s="125"/>
      <c r="B46" s="125"/>
      <c r="C46" s="125"/>
      <c r="D46" s="125"/>
      <c r="E46" s="125"/>
      <c r="F46" s="125"/>
      <c r="G46" s="21" t="s">
        <v>80</v>
      </c>
      <c r="H46" s="21" t="s">
        <v>67</v>
      </c>
      <c r="I46" s="21">
        <f>'MERCADO TUSD'!$U$43</f>
        <v>0</v>
      </c>
      <c r="J46" s="17"/>
      <c r="L46" s="78">
        <f>('TUSD BE'!$L$46+'TUSD BF'!$L$46+'TUSD CVA'!$L$46)*1</f>
        <v>48.698907051497756</v>
      </c>
      <c r="M46" s="78">
        <f>('TUSD BE'!$M$46+'TUSD BF'!$M$46+'TUSD CVA'!$M$46)*1</f>
        <v>2.3768405154799148</v>
      </c>
      <c r="N46" s="78">
        <f ca="1">('TUSD BE'!$N$46+'TUSD BF'!$N$46+'TUSD CVA'!$N$46)*1</f>
        <v>0</v>
      </c>
      <c r="O46" s="78">
        <f>('TUSD BE'!$O$46+'TUSD BF'!$O$46+'TUSD CVA'!$O$46)*1</f>
        <v>0</v>
      </c>
      <c r="P46" s="78">
        <f>('TUSD BE'!$P$46+'TUSD BF'!$P$46+'TUSD CVA'!$P$46)*1</f>
        <v>0</v>
      </c>
      <c r="Q46" s="78">
        <f>('TUSD BE'!$Q$46+'TUSD BF'!$Q$46+'TUSD CVA'!$Q$46)*1</f>
        <v>79.008390922432312</v>
      </c>
      <c r="R46" s="78">
        <f>('TUSD BE'!$R$46+'TUSD BF'!$R$46+'TUSD CVA'!$R$46)*1</f>
        <v>13.71025038076683</v>
      </c>
      <c r="S46" s="78">
        <f>('TUSD BE'!$S$46+'TUSD BF'!$S$46+'TUSD CVA'!$S$46)*1</f>
        <v>0</v>
      </c>
      <c r="T46" s="78">
        <f>('TUSD BE'!$U$46+'TUSD BF'!$U$46+'TUSD CVA'!$U$46)*1</f>
        <v>0</v>
      </c>
      <c r="U46" s="78">
        <f>('TUSD BE'!$V$46+'TUSD BF'!$V$46+'TUSD CVA'!$V$46)*1</f>
        <v>0</v>
      </c>
      <c r="V46" s="78">
        <f>('TUSD BE'!$W$46+'TUSD BF'!$W$46+'TUSD CVA'!$W$46)*1</f>
        <v>0</v>
      </c>
      <c r="W46" s="78">
        <f>('TUSD BE'!$X$46+'TUSD BF'!$X$46+'TUSD CVA'!$X$46)*1</f>
        <v>0</v>
      </c>
      <c r="X46" s="78">
        <f>('TUSD BE'!$Y$46+'TUSD BF'!$Y$46+'TUSD CVA'!$Y$46)*1</f>
        <v>787.22534938658544</v>
      </c>
      <c r="Y46" s="78">
        <f>('TUSD BE'!$Z$46+'TUSD BF'!$Z$46+'TUSD CVA'!$Z$46)*1</f>
        <v>0</v>
      </c>
      <c r="Z46" s="78">
        <f>('TUSD BE'!$AA$46+'TUSD BF'!$AA$46+'TUSD CVA'!$AA$46)*1</f>
        <v>0</v>
      </c>
      <c r="AA46" s="78">
        <f>('TUSD BE'!$AC$46+'TUSD BF'!$AC$46+'TUSD CVA'!$AC$46)*1</f>
        <v>1001.8486253126072</v>
      </c>
      <c r="AB46" s="78">
        <f ca="1">('TUSD BE'!$AE$46+'TUSD BF'!$AE$46+'TUSD CVA'!$AE$46)*1</f>
        <v>0</v>
      </c>
      <c r="AC46" s="78">
        <f ca="1">('TUSD BE'!$AF$46+'TUSD BF'!$AF$46+'TUSD CVA'!$AF$46)*1</f>
        <v>0</v>
      </c>
      <c r="AD46" s="78">
        <f>('TUSD BE'!$AH$46+'TUSD BF'!$AH$46+'TUSD CVA'!$AH$46)*1</f>
        <v>22.593468937112931</v>
      </c>
      <c r="AE46" s="78">
        <f>('TUSD BE'!$AI$46+'TUSD BF'!$AI$46+'TUSD CVA'!$AI$46)*1</f>
        <v>0</v>
      </c>
      <c r="AF46" s="78">
        <f ca="1">('TUSD BE'!$AJ$46+'TUSD BF'!$AJ$46+'TUSD CVA'!$AJ$46)*1</f>
        <v>3.0856163480390002</v>
      </c>
      <c r="AG46" s="78">
        <f ca="1">('TUSD BE'!$AK$46+'TUSD BF'!$AK$46+'TUSD CVA'!$AK$46)*1</f>
        <v>0</v>
      </c>
      <c r="AI46" s="78">
        <v>0</v>
      </c>
      <c r="AJ46" s="78">
        <v>2.2145746442069401</v>
      </c>
      <c r="AK46" s="78">
        <v>0</v>
      </c>
      <c r="AL46" s="78">
        <v>0</v>
      </c>
      <c r="AM46" s="78">
        <v>0</v>
      </c>
      <c r="AN46" s="78">
        <v>112.044183278074</v>
      </c>
      <c r="AO46" s="78">
        <v>9.3331335064927892</v>
      </c>
      <c r="AP46" s="78">
        <v>0</v>
      </c>
      <c r="AQ46" s="78">
        <v>0</v>
      </c>
      <c r="AR46" s="78">
        <v>0</v>
      </c>
      <c r="AS46" s="78">
        <v>0</v>
      </c>
      <c r="AT46" s="78">
        <v>0</v>
      </c>
      <c r="AU46" s="78">
        <v>418.17984480905199</v>
      </c>
      <c r="AV46" s="78">
        <v>0</v>
      </c>
      <c r="AW46" s="78">
        <v>0</v>
      </c>
      <c r="AX46" s="78">
        <v>922.66723980797303</v>
      </c>
      <c r="AY46" s="78">
        <v>30.441026525750999</v>
      </c>
      <c r="AZ46" s="78">
        <v>0</v>
      </c>
      <c r="BA46" s="78">
        <v>26.5473791413011</v>
      </c>
      <c r="BB46" s="78">
        <v>0</v>
      </c>
      <c r="BC46" s="78">
        <v>0</v>
      </c>
      <c r="BD46" s="78">
        <v>0</v>
      </c>
    </row>
    <row r="47" spans="1:56" ht="11.25" customHeight="1" x14ac:dyDescent="0.3">
      <c r="A47" s="125"/>
      <c r="B47" s="125"/>
      <c r="C47" s="125"/>
      <c r="D47" s="125"/>
      <c r="E47" s="125"/>
      <c r="F47" s="125"/>
      <c r="G47" s="21" t="s">
        <v>69</v>
      </c>
      <c r="H47" s="21" t="s">
        <v>67</v>
      </c>
      <c r="I47" s="21">
        <f>'MERCADO TUSD'!$U$44</f>
        <v>0</v>
      </c>
      <c r="J47" s="17"/>
      <c r="L47" s="78">
        <f>('TUSD BE'!$L$47+'TUSD BF'!$L$47+'TUSD CVA'!$L$47)*1</f>
        <v>48.698907051497756</v>
      </c>
      <c r="M47" s="78">
        <f>('TUSD BE'!$M$47+'TUSD BF'!$M$47+'TUSD CVA'!$M$47)*1</f>
        <v>2.3768405154799148</v>
      </c>
      <c r="N47" s="78">
        <f ca="1">('TUSD BE'!$N$47+'TUSD BF'!$N$47+'TUSD CVA'!$N$47)*1</f>
        <v>0</v>
      </c>
      <c r="O47" s="78">
        <f>('TUSD BE'!$O$47+'TUSD BF'!$O$47+'TUSD CVA'!$O$47)*1</f>
        <v>0</v>
      </c>
      <c r="P47" s="78">
        <f>('TUSD BE'!$P$47+'TUSD BF'!$P$47+'TUSD CVA'!$P$47)*1</f>
        <v>0</v>
      </c>
      <c r="Q47" s="78">
        <f>('TUSD BE'!$Q$47+'TUSD BF'!$Q$47+'TUSD CVA'!$Q$47)*1</f>
        <v>79.008390922432312</v>
      </c>
      <c r="R47" s="78">
        <f>('TUSD BE'!$R$47+'TUSD BF'!$R$47+'TUSD CVA'!$R$47)*1</f>
        <v>13.71025038076683</v>
      </c>
      <c r="S47" s="78">
        <f>('TUSD BE'!$S$47+'TUSD BF'!$S$47+'TUSD CVA'!$S$47)*1</f>
        <v>0</v>
      </c>
      <c r="T47" s="78">
        <f>('TUSD BE'!$U$47+'TUSD BF'!$U$47+'TUSD CVA'!$U$47)*1</f>
        <v>0</v>
      </c>
      <c r="U47" s="78">
        <f>('TUSD BE'!$V$47+'TUSD BF'!$V$47+'TUSD CVA'!$V$47)*1</f>
        <v>0</v>
      </c>
      <c r="V47" s="78">
        <f>('TUSD BE'!$W$47+'TUSD BF'!$W$47+'TUSD CVA'!$W$47)*1</f>
        <v>0</v>
      </c>
      <c r="W47" s="78">
        <f>('TUSD BE'!$X$47+'TUSD BF'!$X$47+'TUSD CVA'!$X$47)*1</f>
        <v>0</v>
      </c>
      <c r="X47" s="78">
        <f>('TUSD BE'!$Y$47+'TUSD BF'!$Y$47+'TUSD CVA'!$Y$47)*1</f>
        <v>262.41001981169126</v>
      </c>
      <c r="Y47" s="78">
        <f>('TUSD BE'!$Z$47+'TUSD BF'!$Z$47+'TUSD CVA'!$Z$47)*1</f>
        <v>0</v>
      </c>
      <c r="Z47" s="78">
        <f>('TUSD BE'!$AA$47+'TUSD BF'!$AA$47+'TUSD CVA'!$AA$47)*1</f>
        <v>0</v>
      </c>
      <c r="AA47" s="78">
        <f>('TUSD BE'!$AC$47+'TUSD BF'!$AC$47+'TUSD CVA'!$AC$47)*1</f>
        <v>333.94957749491681</v>
      </c>
      <c r="AB47" s="78">
        <f ca="1">('TUSD BE'!$AE$47+'TUSD BF'!$AE$47+'TUSD CVA'!$AE$47)*1</f>
        <v>0</v>
      </c>
      <c r="AC47" s="78">
        <f ca="1">('TUSD BE'!$AF$47+'TUSD BF'!$AF$47+'TUSD CVA'!$AF$47)*1</f>
        <v>0</v>
      </c>
      <c r="AD47" s="78">
        <f>('TUSD BE'!$AH$47+'TUSD BF'!$AH$47+'TUSD CVA'!$AH$47)*1</f>
        <v>22.593468937112931</v>
      </c>
      <c r="AE47" s="78">
        <f>('TUSD BE'!$AI$47+'TUSD BF'!$AI$47+'TUSD CVA'!$AI$47)*1</f>
        <v>0</v>
      </c>
      <c r="AF47" s="78">
        <f ca="1">('TUSD BE'!$AJ$47+'TUSD BF'!$AJ$47+'TUSD CVA'!$AJ$47)*1</f>
        <v>3.0856163480390002</v>
      </c>
      <c r="AG47" s="78">
        <f ca="1">('TUSD BE'!$AK$47+'TUSD BF'!$AK$47+'TUSD CVA'!$AK$47)*1</f>
        <v>0</v>
      </c>
      <c r="AI47" s="78">
        <v>0</v>
      </c>
      <c r="AJ47" s="78">
        <v>2.2145746442069401</v>
      </c>
      <c r="AK47" s="78">
        <v>0</v>
      </c>
      <c r="AL47" s="78">
        <v>0</v>
      </c>
      <c r="AM47" s="78">
        <v>0</v>
      </c>
      <c r="AN47" s="78">
        <v>112.044183278074</v>
      </c>
      <c r="AO47" s="78">
        <v>9.3331335064927892</v>
      </c>
      <c r="AP47" s="78">
        <v>0</v>
      </c>
      <c r="AQ47" s="78">
        <v>0</v>
      </c>
      <c r="AR47" s="78">
        <v>0</v>
      </c>
      <c r="AS47" s="78">
        <v>0</v>
      </c>
      <c r="AT47" s="78">
        <v>0</v>
      </c>
      <c r="AU47" s="78">
        <v>139.39408705668001</v>
      </c>
      <c r="AV47" s="78">
        <v>0</v>
      </c>
      <c r="AW47" s="78">
        <v>0</v>
      </c>
      <c r="AX47" s="78">
        <v>307.55574660265802</v>
      </c>
      <c r="AY47" s="78">
        <v>11.9795575091196</v>
      </c>
      <c r="AZ47" s="78">
        <v>0</v>
      </c>
      <c r="BA47" s="78">
        <v>26.5473791413011</v>
      </c>
      <c r="BB47" s="78">
        <v>0</v>
      </c>
      <c r="BC47" s="78">
        <v>0</v>
      </c>
      <c r="BD47" s="78">
        <v>0</v>
      </c>
    </row>
    <row r="48" spans="1:56" ht="11.25" customHeight="1" x14ac:dyDescent="0.3">
      <c r="A48" s="125"/>
      <c r="B48" s="80" t="s">
        <v>23</v>
      </c>
      <c r="C48" s="80" t="s">
        <v>25</v>
      </c>
      <c r="D48" s="80" t="s">
        <v>25</v>
      </c>
      <c r="E48" s="80" t="s">
        <v>25</v>
      </c>
      <c r="F48" s="80" t="s">
        <v>25</v>
      </c>
      <c r="G48" s="21" t="s">
        <v>74</v>
      </c>
      <c r="H48" s="21" t="s">
        <v>67</v>
      </c>
      <c r="I48" s="21">
        <f>'MERCADO TUSD'!$U$45</f>
        <v>6518.4639999999999</v>
      </c>
      <c r="J48" s="17"/>
      <c r="L48" s="78">
        <f>('TUSD BE'!$L$48+'TUSD BF'!$L$48+'TUSD CVA'!$L$48)*1</f>
        <v>48.698907051497756</v>
      </c>
      <c r="M48" s="78">
        <f>('TUSD BE'!$M$48+'TUSD BF'!$M$48+'TUSD CVA'!$M$48)*1</f>
        <v>2.3768405154799148</v>
      </c>
      <c r="N48" s="78">
        <f ca="1">('TUSD BE'!$N$48+'TUSD BF'!$N$48+'TUSD CVA'!$N$48)*1</f>
        <v>0</v>
      </c>
      <c r="O48" s="78">
        <f>('TUSD BE'!$O$48+'TUSD BF'!$O$48+'TUSD CVA'!$O$48)*1</f>
        <v>0</v>
      </c>
      <c r="P48" s="78">
        <f>('TUSD BE'!$P$48+'TUSD BF'!$P$48+'TUSD CVA'!$P$48)*1</f>
        <v>0</v>
      </c>
      <c r="Q48" s="78">
        <f>('TUSD BE'!$Q$48+'TUSD BF'!$Q$48+'TUSD CVA'!$Q$48)*1</f>
        <v>79.008390922432312</v>
      </c>
      <c r="R48" s="78">
        <f>('TUSD BE'!$R$48+'TUSD BF'!$R$48+'TUSD CVA'!$R$48)*1</f>
        <v>13.71025038076683</v>
      </c>
      <c r="S48" s="78">
        <f>('TUSD BE'!$S$48+'TUSD BF'!$S$48+'TUSD CVA'!$S$48)*1</f>
        <v>0</v>
      </c>
      <c r="T48" s="78">
        <f>('TUSD BE'!$U$48+'TUSD BF'!$U$48+'TUSD CVA'!$U$48)*1</f>
        <v>0</v>
      </c>
      <c r="U48" s="78">
        <f>('TUSD BE'!$V$48+'TUSD BF'!$V$48+'TUSD CVA'!$V$48)*1</f>
        <v>0</v>
      </c>
      <c r="V48" s="78">
        <f>('TUSD BE'!$W$48+'TUSD BF'!$W$48+'TUSD CVA'!$W$48)*1</f>
        <v>0</v>
      </c>
      <c r="W48" s="78">
        <f>('TUSD BE'!$X$48+'TUSD BF'!$X$48+'TUSD CVA'!$X$48)*1</f>
        <v>0</v>
      </c>
      <c r="X48" s="78">
        <f>('TUSD BE'!$Y$48+'TUSD BF'!$Y$48+'TUSD CVA'!$Y$48)*1</f>
        <v>385.89518427653263</v>
      </c>
      <c r="Y48" s="78">
        <f>('TUSD BE'!$Z$48+'TUSD BF'!$Z$48+'TUSD CVA'!$Z$48)*1</f>
        <v>0</v>
      </c>
      <c r="Z48" s="78">
        <f>('TUSD BE'!$AA$48+'TUSD BF'!$AA$48+'TUSD CVA'!$AA$48)*1</f>
        <v>0</v>
      </c>
      <c r="AA48" s="78">
        <f>('TUSD BE'!$AC$48+'TUSD BF'!$AC$48+'TUSD CVA'!$AC$48)*1</f>
        <v>491.1023072369785</v>
      </c>
      <c r="AB48" s="78">
        <f ca="1">('TUSD BE'!$AE$48+'TUSD BF'!$AE$48+'TUSD CVA'!$AE$48)*1</f>
        <v>0</v>
      </c>
      <c r="AC48" s="78">
        <f ca="1">('TUSD BE'!$AF$48+'TUSD BF'!$AF$48+'TUSD CVA'!$AF$48)*1</f>
        <v>0</v>
      </c>
      <c r="AD48" s="78">
        <f>('TUSD BE'!$AH$48+'TUSD BF'!$AH$48+'TUSD CVA'!$AH$48)*1</f>
        <v>22.593468937112931</v>
      </c>
      <c r="AE48" s="78">
        <f>('TUSD BE'!$AI$48+'TUSD BF'!$AI$48+'TUSD CVA'!$AI$48)*1</f>
        <v>0</v>
      </c>
      <c r="AF48" s="78">
        <f ca="1">('TUSD BE'!$AJ$48+'TUSD BF'!$AJ$48+'TUSD CVA'!$AJ$48)*1</f>
        <v>3.0856163480390002</v>
      </c>
      <c r="AG48" s="78">
        <f ca="1">('TUSD BE'!$AK$48+'TUSD BF'!$AK$48+'TUSD CVA'!$AK$48)*1</f>
        <v>0</v>
      </c>
      <c r="AI48" s="78">
        <v>0</v>
      </c>
      <c r="AJ48" s="78">
        <v>2.2145746442069401</v>
      </c>
      <c r="AK48" s="78">
        <v>0</v>
      </c>
      <c r="AL48" s="78">
        <v>0</v>
      </c>
      <c r="AM48" s="78">
        <v>0</v>
      </c>
      <c r="AN48" s="78">
        <v>112.044183278074</v>
      </c>
      <c r="AO48" s="78">
        <v>9.3331335064927892</v>
      </c>
      <c r="AP48" s="78">
        <v>0</v>
      </c>
      <c r="AQ48" s="78">
        <v>0</v>
      </c>
      <c r="AR48" s="78">
        <v>0</v>
      </c>
      <c r="AS48" s="78">
        <v>0</v>
      </c>
      <c r="AT48" s="78">
        <v>0</v>
      </c>
      <c r="AU48" s="78">
        <v>204.99030334299499</v>
      </c>
      <c r="AV48" s="78">
        <v>0</v>
      </c>
      <c r="AW48" s="78">
        <v>0</v>
      </c>
      <c r="AX48" s="78">
        <v>452.28791095595</v>
      </c>
      <c r="AY48" s="78">
        <v>16.3234232889215</v>
      </c>
      <c r="AZ48" s="78">
        <v>0</v>
      </c>
      <c r="BA48" s="78">
        <v>26.5473791413011</v>
      </c>
      <c r="BB48" s="78">
        <v>0</v>
      </c>
      <c r="BC48" s="78">
        <v>0</v>
      </c>
      <c r="BD48" s="78">
        <v>0</v>
      </c>
    </row>
    <row r="49" spans="1:56" ht="11.25" customHeight="1" x14ac:dyDescent="0.3">
      <c r="A49" s="125"/>
      <c r="B49" s="80" t="s">
        <v>84</v>
      </c>
      <c r="C49" s="80" t="s">
        <v>25</v>
      </c>
      <c r="D49" s="80" t="s">
        <v>25</v>
      </c>
      <c r="E49" s="80" t="s">
        <v>25</v>
      </c>
      <c r="F49" s="80" t="s">
        <v>25</v>
      </c>
      <c r="G49" s="21" t="s">
        <v>74</v>
      </c>
      <c r="H49" s="21" t="s">
        <v>67</v>
      </c>
      <c r="I49" s="21">
        <f>'MERCADO TUSD'!$U$46</f>
        <v>0</v>
      </c>
      <c r="J49" s="17"/>
      <c r="L49" s="78">
        <f>('TUSD BE'!$L$49+'TUSD BF'!$L$49+'TUSD CVA'!$L$49)*1</f>
        <v>48.698907051497756</v>
      </c>
      <c r="M49" s="78">
        <f>('TUSD BE'!$M$49+'TUSD BF'!$M$49+'TUSD CVA'!$M$49)*1</f>
        <v>2.3768405154799148</v>
      </c>
      <c r="N49" s="78">
        <f ca="1">('TUSD BE'!$N$49+'TUSD BF'!$N$49+'TUSD CVA'!$N$49)*1</f>
        <v>0</v>
      </c>
      <c r="O49" s="78">
        <f>('TUSD BE'!$O$49+'TUSD BF'!$O$49+'TUSD CVA'!$O$49)*1</f>
        <v>0</v>
      </c>
      <c r="P49" s="78">
        <f>('TUSD BE'!$P$49+'TUSD BF'!$P$49+'TUSD CVA'!$P$49)*1</f>
        <v>0</v>
      </c>
      <c r="Q49" s="78">
        <f>('TUSD BE'!$Q$49+'TUSD BF'!$Q$49+'TUSD CVA'!$Q$49)*1</f>
        <v>79.008390922432312</v>
      </c>
      <c r="R49" s="78">
        <f>('TUSD BE'!$R$49+'TUSD BF'!$R$49+'TUSD CVA'!$R$49)*1</f>
        <v>13.71025038076683</v>
      </c>
      <c r="S49" s="78">
        <f>('TUSD BE'!$S$49+'TUSD BF'!$S$49+'TUSD CVA'!$S$49)*1</f>
        <v>0</v>
      </c>
      <c r="T49" s="78">
        <f>('TUSD BE'!$U$49+'TUSD BF'!$U$49+'TUSD CVA'!$U$49)*1</f>
        <v>0</v>
      </c>
      <c r="U49" s="78">
        <f>('TUSD BE'!$V$49+'TUSD BF'!$V$49+'TUSD CVA'!$V$49)*1</f>
        <v>0</v>
      </c>
      <c r="V49" s="78">
        <f>('TUSD BE'!$W$49+'TUSD BF'!$W$49+'TUSD CVA'!$W$49)*1</f>
        <v>0</v>
      </c>
      <c r="W49" s="78">
        <f>('TUSD BE'!$X$49+'TUSD BF'!$X$49+'TUSD CVA'!$X$49)*1</f>
        <v>0</v>
      </c>
      <c r="X49" s="78">
        <f>('TUSD BE'!$Y$49+'TUSD BF'!$Y$49+'TUSD CVA'!$Y$49)*1</f>
        <v>385.89518427653263</v>
      </c>
      <c r="Y49" s="78">
        <f>('TUSD BE'!$Z$49+'TUSD BF'!$Z$49+'TUSD CVA'!$Z$49)*1</f>
        <v>0</v>
      </c>
      <c r="Z49" s="78">
        <f>('TUSD BE'!$AA$49+'TUSD BF'!$AA$49+'TUSD CVA'!$AA$49)*1</f>
        <v>0</v>
      </c>
      <c r="AA49" s="78">
        <f>('TUSD BE'!$AC$49+'TUSD BF'!$AC$49+'TUSD CVA'!$AC$49)*1</f>
        <v>491.1023072369785</v>
      </c>
      <c r="AB49" s="78">
        <f ca="1">('TUSD BE'!$AE$49+'TUSD BF'!$AE$49+'TUSD CVA'!$AE$49)*1</f>
        <v>0</v>
      </c>
      <c r="AC49" s="78">
        <f ca="1">('TUSD BE'!$AF$49+'TUSD BF'!$AF$49+'TUSD CVA'!$AF$49)*1</f>
        <v>0</v>
      </c>
      <c r="AD49" s="78">
        <f>('TUSD BE'!$AH$49+'TUSD BF'!$AH$49+'TUSD CVA'!$AH$49)*1</f>
        <v>22.593468937112931</v>
      </c>
      <c r="AE49" s="78">
        <f>('TUSD BE'!$AI$49+'TUSD BF'!$AI$49+'TUSD CVA'!$AI$49)*1</f>
        <v>0</v>
      </c>
      <c r="AF49" s="78">
        <f ca="1">('TUSD BE'!$AJ$49+'TUSD BF'!$AJ$49+'TUSD CVA'!$AJ$49)*1</f>
        <v>3.0856163480390002</v>
      </c>
      <c r="AG49" s="78">
        <f ca="1">('TUSD BE'!$AK$49+'TUSD BF'!$AK$49+'TUSD CVA'!$AK$49)*1</f>
        <v>0</v>
      </c>
      <c r="AI49" s="78">
        <v>0</v>
      </c>
      <c r="AJ49" s="78">
        <v>2.2145746442069401</v>
      </c>
      <c r="AK49" s="78">
        <v>0</v>
      </c>
      <c r="AL49" s="78">
        <v>0</v>
      </c>
      <c r="AM49" s="78">
        <v>0</v>
      </c>
      <c r="AN49" s="78">
        <v>112.044183278074</v>
      </c>
      <c r="AO49" s="78">
        <v>9.3331335064927892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204.99030334299499</v>
      </c>
      <c r="AV49" s="78">
        <v>0</v>
      </c>
      <c r="AW49" s="78">
        <v>0</v>
      </c>
      <c r="AX49" s="78">
        <v>452.28791095595</v>
      </c>
      <c r="AY49" s="78">
        <v>16.3234232889215</v>
      </c>
      <c r="AZ49" s="78">
        <v>0</v>
      </c>
      <c r="BA49" s="78">
        <v>26.5473791413011</v>
      </c>
      <c r="BB49" s="78">
        <v>0</v>
      </c>
      <c r="BC49" s="78">
        <v>0</v>
      </c>
      <c r="BD49" s="78">
        <v>0</v>
      </c>
    </row>
    <row r="50" spans="1:56" ht="11.25" customHeight="1" x14ac:dyDescent="0.3">
      <c r="A50" s="125" t="s">
        <v>43</v>
      </c>
      <c r="B50" s="125" t="s">
        <v>23</v>
      </c>
      <c r="C50" s="125" t="s">
        <v>44</v>
      </c>
      <c r="D50" s="80" t="s">
        <v>45</v>
      </c>
      <c r="E50" s="80" t="s">
        <v>25</v>
      </c>
      <c r="F50" s="80" t="s">
        <v>25</v>
      </c>
      <c r="G50" s="21" t="s">
        <v>74</v>
      </c>
      <c r="H50" s="21" t="s">
        <v>67</v>
      </c>
      <c r="I50" s="21">
        <f>'MERCADO TUSD'!$U$47</f>
        <v>665.90099999999984</v>
      </c>
      <c r="J50" s="17"/>
      <c r="L50" s="78">
        <f>('TUSD BE'!$L$50+'TUSD BF'!$L$50+'TUSD CVA'!$L$50)*1</f>
        <v>25.810420737293811</v>
      </c>
      <c r="M50" s="78">
        <f>('TUSD BE'!$M$50+'TUSD BF'!$M$50+'TUSD CVA'!$M$50)*1</f>
        <v>1.259725473204355</v>
      </c>
      <c r="N50" s="78">
        <f ca="1">('TUSD BE'!$N$50+'TUSD BF'!$N$50+'TUSD CVA'!$N$50)*1</f>
        <v>0</v>
      </c>
      <c r="O50" s="78">
        <f>('TUSD BE'!$O$50+'TUSD BF'!$O$50+'TUSD CVA'!$O$50)*1</f>
        <v>0</v>
      </c>
      <c r="P50" s="78">
        <f>('TUSD BE'!$P$50+'TUSD BF'!$P$50+'TUSD CVA'!$P$50)*1</f>
        <v>0</v>
      </c>
      <c r="Q50" s="78">
        <f>('TUSD BE'!$Q$50+'TUSD BF'!$Q$50+'TUSD CVA'!$Q$50)*1</f>
        <v>41.874447188889121</v>
      </c>
      <c r="R50" s="78">
        <f>('TUSD BE'!$R$50+'TUSD BF'!$R$50+'TUSD CVA'!$R$50)*1</f>
        <v>7.2664327018064201</v>
      </c>
      <c r="S50" s="78">
        <f>('TUSD BE'!$S$50+'TUSD BF'!$S$50+'TUSD CVA'!$S$50)*1</f>
        <v>0</v>
      </c>
      <c r="T50" s="78">
        <f>('TUSD BE'!$U$50+'TUSD BF'!$U$50+'TUSD CVA'!$U$50)*1</f>
        <v>0</v>
      </c>
      <c r="U50" s="78">
        <f>('TUSD BE'!$V$50+'TUSD BF'!$V$50+'TUSD CVA'!$V$50)*1</f>
        <v>0</v>
      </c>
      <c r="V50" s="78">
        <f>('TUSD BE'!$W$50+'TUSD BF'!$W$50+'TUSD CVA'!$W$50)*1</f>
        <v>0</v>
      </c>
      <c r="W50" s="78">
        <f>('TUSD BE'!$X$50+'TUSD BF'!$X$50+'TUSD CVA'!$X$50)*1</f>
        <v>0</v>
      </c>
      <c r="X50" s="78">
        <f>('TUSD BE'!$Y$50+'TUSD BF'!$Y$50+'TUSD CVA'!$Y$50)*1</f>
        <v>204.52444766656234</v>
      </c>
      <c r="Y50" s="78">
        <f>('TUSD BE'!$Z$50+'TUSD BF'!$Z$50+'TUSD CVA'!$Z$50)*1</f>
        <v>0</v>
      </c>
      <c r="Z50" s="78">
        <f>('TUSD BE'!$AA$50+'TUSD BF'!$AA$50+'TUSD CVA'!$AA$50)*1</f>
        <v>0</v>
      </c>
      <c r="AA50" s="78">
        <f>('TUSD BE'!$AC$50+'TUSD BF'!$AC$50+'TUSD CVA'!$AC$50)*1</f>
        <v>260.2842228355986</v>
      </c>
      <c r="AB50" s="78">
        <f ca="1">('TUSD BE'!$AE$50+'TUSD BF'!$AE$50+'TUSD CVA'!$AE$50)*1</f>
        <v>0</v>
      </c>
      <c r="AC50" s="78">
        <f ca="1">('TUSD BE'!$AF$50+'TUSD BF'!$AF$50+'TUSD CVA'!$AF$50)*1</f>
        <v>0</v>
      </c>
      <c r="AD50" s="78">
        <f>('TUSD BE'!$AH$50+'TUSD BF'!$AH$50+'TUSD CVA'!$AH$50)*1</f>
        <v>11.974538536669854</v>
      </c>
      <c r="AE50" s="78">
        <f>('TUSD BE'!$AI$50+'TUSD BF'!$AI$50+'TUSD CVA'!$AI$50)*1</f>
        <v>0</v>
      </c>
      <c r="AF50" s="78">
        <f ca="1">('TUSD BE'!$AJ$50+'TUSD BF'!$AJ$50+'TUSD CVA'!$AJ$50)*1</f>
        <v>1.63537666446067</v>
      </c>
      <c r="AG50" s="78">
        <f ca="1">('TUSD BE'!$AK$50+'TUSD BF'!$AK$50+'TUSD CVA'!$AK$50)*1</f>
        <v>0</v>
      </c>
      <c r="AI50" s="78">
        <v>0</v>
      </c>
      <c r="AJ50" s="78">
        <v>1.1737245614296801</v>
      </c>
      <c r="AK50" s="78">
        <v>0</v>
      </c>
      <c r="AL50" s="78">
        <v>0</v>
      </c>
      <c r="AM50" s="78">
        <v>0</v>
      </c>
      <c r="AN50" s="78">
        <v>59.383417137378999</v>
      </c>
      <c r="AO50" s="78">
        <v>4.9465607584411799</v>
      </c>
      <c r="AP50" s="78">
        <v>0</v>
      </c>
      <c r="AQ50" s="78">
        <v>0</v>
      </c>
      <c r="AR50" s="78">
        <v>0</v>
      </c>
      <c r="AS50" s="78">
        <v>0</v>
      </c>
      <c r="AT50" s="78">
        <v>0</v>
      </c>
      <c r="AU50" s="78">
        <v>108.64486077178699</v>
      </c>
      <c r="AV50" s="78">
        <v>0</v>
      </c>
      <c r="AW50" s="78">
        <v>0</v>
      </c>
      <c r="AX50" s="78">
        <v>239.71259280665399</v>
      </c>
      <c r="AY50" s="78">
        <v>8.6514143431283799</v>
      </c>
      <c r="AZ50" s="78">
        <v>0</v>
      </c>
      <c r="BA50" s="78">
        <v>14.070110944889599</v>
      </c>
      <c r="BB50" s="78">
        <v>0</v>
      </c>
      <c r="BC50" s="78">
        <v>0</v>
      </c>
      <c r="BD50" s="78">
        <v>0</v>
      </c>
    </row>
    <row r="51" spans="1:56" ht="11.25" customHeight="1" x14ac:dyDescent="0.3">
      <c r="A51" s="125"/>
      <c r="B51" s="125"/>
      <c r="C51" s="125"/>
      <c r="D51" s="21" t="s">
        <v>87</v>
      </c>
      <c r="E51" s="21" t="s">
        <v>25</v>
      </c>
      <c r="F51" s="21" t="s">
        <v>25</v>
      </c>
      <c r="G51" s="21" t="s">
        <v>74</v>
      </c>
      <c r="H51" s="21" t="s">
        <v>67</v>
      </c>
      <c r="I51" s="21">
        <f>'MERCADO TUSD'!$U$48</f>
        <v>0</v>
      </c>
      <c r="J51" s="17"/>
      <c r="L51" s="78">
        <f>('TUSD BE'!$L$51+'TUSD BF'!$L$51+'TUSD CVA'!$L$51)*1</f>
        <v>28.245366089868703</v>
      </c>
      <c r="M51" s="78">
        <f>('TUSD BE'!$M$51+'TUSD BF'!$M$51+'TUSD CVA'!$M$51)*1</f>
        <v>1.378567498978351</v>
      </c>
      <c r="N51" s="78">
        <f ca="1">('TUSD BE'!$N$51+'TUSD BF'!$N$51+'TUSD CVA'!$N$51)*1</f>
        <v>0</v>
      </c>
      <c r="O51" s="78">
        <f>('TUSD BE'!$O$51+'TUSD BF'!$O$51+'TUSD CVA'!$O$51)*1</f>
        <v>0</v>
      </c>
      <c r="P51" s="78">
        <f>('TUSD BE'!$P$51+'TUSD BF'!$P$51+'TUSD CVA'!$P$51)*1</f>
        <v>0</v>
      </c>
      <c r="Q51" s="78">
        <f>('TUSD BE'!$Q$51+'TUSD BF'!$Q$51+'TUSD CVA'!$Q$51)*1</f>
        <v>45.824866735010744</v>
      </c>
      <c r="R51" s="78">
        <f>('TUSD BE'!$R$51+'TUSD BF'!$R$51+'TUSD CVA'!$R$51)*1</f>
        <v>7.9519452208447623</v>
      </c>
      <c r="S51" s="78">
        <f>('TUSD BE'!$S$51+'TUSD BF'!$S$51+'TUSD CVA'!$S$51)*1</f>
        <v>0</v>
      </c>
      <c r="T51" s="78">
        <f>('TUSD BE'!$U$51+'TUSD BF'!$U$51+'TUSD CVA'!$U$51)*1</f>
        <v>0</v>
      </c>
      <c r="U51" s="78">
        <f>('TUSD BE'!$V$51+'TUSD BF'!$V$51+'TUSD CVA'!$V$51)*1</f>
        <v>0</v>
      </c>
      <c r="V51" s="78">
        <f>('TUSD BE'!$W$51+'TUSD BF'!$W$51+'TUSD CVA'!$W$51)*1</f>
        <v>0</v>
      </c>
      <c r="W51" s="78">
        <f>('TUSD BE'!$X$51+'TUSD BF'!$X$51+'TUSD CVA'!$X$51)*1</f>
        <v>0</v>
      </c>
      <c r="X51" s="78">
        <f>('TUSD BE'!$Y$51+'TUSD BF'!$Y$51+'TUSD CVA'!$Y$51)*1</f>
        <v>223.81920688038898</v>
      </c>
      <c r="Y51" s="78">
        <f>('TUSD BE'!$Z$51+'TUSD BF'!$Z$51+'TUSD CVA'!$Z$51)*1</f>
        <v>0</v>
      </c>
      <c r="Z51" s="78">
        <f>('TUSD BE'!$AA$51+'TUSD BF'!$AA$51+'TUSD CVA'!$AA$51)*1</f>
        <v>0</v>
      </c>
      <c r="AA51" s="78">
        <f>('TUSD BE'!$AC$51+'TUSD BF'!$AC$51+'TUSD CVA'!$AC$51)*1</f>
        <v>284.8393381974476</v>
      </c>
      <c r="AB51" s="78">
        <f ca="1">('TUSD BE'!$AE$51+'TUSD BF'!$AE$51+'TUSD CVA'!$AE$51)*1</f>
        <v>0</v>
      </c>
      <c r="AC51" s="78">
        <f ca="1">('TUSD BE'!$AF$51+'TUSD BF'!$AF$51+'TUSD CVA'!$AF$51)*1</f>
        <v>0</v>
      </c>
      <c r="AD51" s="78">
        <f>('TUSD BE'!$AH$51+'TUSD BF'!$AH$51+'TUSD CVA'!$AH$51)*1</f>
        <v>13.104211983525502</v>
      </c>
      <c r="AE51" s="78">
        <f>('TUSD BE'!$AI$51+'TUSD BF'!$AI$51+'TUSD CVA'!$AI$51)*1</f>
        <v>0</v>
      </c>
      <c r="AF51" s="78">
        <f ca="1">('TUSD BE'!$AJ$51+'TUSD BF'!$AJ$51+'TUSD CVA'!$AJ$51)*1</f>
        <v>1.7896574818626203</v>
      </c>
      <c r="AG51" s="78">
        <f ca="1">('TUSD BE'!$AK$51+'TUSD BF'!$AK$51+'TUSD CVA'!$AK$51)*1</f>
        <v>0</v>
      </c>
      <c r="AI51" s="78">
        <v>0</v>
      </c>
      <c r="AJ51" s="78">
        <v>1.2844532936400299</v>
      </c>
      <c r="AK51" s="78">
        <v>0</v>
      </c>
      <c r="AL51" s="78">
        <v>0</v>
      </c>
      <c r="AM51" s="78">
        <v>0</v>
      </c>
      <c r="AN51" s="78">
        <v>64.985626301282693</v>
      </c>
      <c r="AO51" s="78">
        <v>5.4132174337658201</v>
      </c>
      <c r="AP51" s="78">
        <v>0</v>
      </c>
      <c r="AQ51" s="78">
        <v>0</v>
      </c>
      <c r="AR51" s="78">
        <v>0</v>
      </c>
      <c r="AS51" s="78">
        <v>0</v>
      </c>
      <c r="AT51" s="78">
        <v>0</v>
      </c>
      <c r="AU51" s="78">
        <v>118.894375938937</v>
      </c>
      <c r="AV51" s="78">
        <v>0</v>
      </c>
      <c r="AW51" s="78">
        <v>0</v>
      </c>
      <c r="AX51" s="78">
        <v>262.32698835445098</v>
      </c>
      <c r="AY51" s="78">
        <v>9.4675855075744497</v>
      </c>
      <c r="AZ51" s="78">
        <v>0</v>
      </c>
      <c r="BA51" s="78">
        <v>15.3974799019546</v>
      </c>
      <c r="BB51" s="78">
        <v>0</v>
      </c>
      <c r="BC51" s="78">
        <v>0</v>
      </c>
      <c r="BD51" s="78">
        <v>0</v>
      </c>
    </row>
    <row r="53" spans="1:56" ht="11.25" customHeight="1" x14ac:dyDescent="0.3">
      <c r="L53" s="122" t="s">
        <v>649</v>
      </c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I53" s="122" t="s">
        <v>650</v>
      </c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</row>
    <row r="54" spans="1:56" ht="11.25" customHeight="1" x14ac:dyDescent="0.3">
      <c r="L54" s="122" t="s">
        <v>347</v>
      </c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I54" s="122" t="s">
        <v>347</v>
      </c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</row>
    <row r="55" spans="1:56" ht="11.25" customHeight="1" x14ac:dyDescent="0.3">
      <c r="L55" s="122" t="s">
        <v>348</v>
      </c>
      <c r="M55" s="122"/>
      <c r="N55" s="122"/>
      <c r="O55" s="122"/>
      <c r="P55" s="122"/>
      <c r="Q55" s="122"/>
      <c r="R55" s="122"/>
      <c r="S55" s="122"/>
      <c r="T55" s="122" t="s">
        <v>357</v>
      </c>
      <c r="U55" s="122"/>
      <c r="V55" s="122"/>
      <c r="W55" s="122"/>
      <c r="X55" s="122"/>
      <c r="Y55" s="122"/>
      <c r="Z55" s="122"/>
      <c r="AA55" s="79" t="s">
        <v>365</v>
      </c>
      <c r="AB55" s="122" t="s">
        <v>367</v>
      </c>
      <c r="AC55" s="122"/>
      <c r="AD55" s="122" t="s">
        <v>370</v>
      </c>
      <c r="AE55" s="122"/>
      <c r="AF55" s="122"/>
      <c r="AG55" s="122"/>
      <c r="AI55" s="122" t="s">
        <v>348</v>
      </c>
      <c r="AJ55" s="122"/>
      <c r="AK55" s="122"/>
      <c r="AL55" s="122"/>
      <c r="AM55" s="122"/>
      <c r="AN55" s="122"/>
      <c r="AO55" s="122"/>
      <c r="AP55" s="122"/>
      <c r="AQ55" s="122" t="s">
        <v>357</v>
      </c>
      <c r="AR55" s="122"/>
      <c r="AS55" s="122"/>
      <c r="AT55" s="122"/>
      <c r="AU55" s="122"/>
      <c r="AV55" s="122"/>
      <c r="AW55" s="122"/>
      <c r="AX55" s="79" t="s">
        <v>365</v>
      </c>
      <c r="AY55" s="122" t="s">
        <v>367</v>
      </c>
      <c r="AZ55" s="122"/>
      <c r="BA55" s="122" t="s">
        <v>370</v>
      </c>
      <c r="BB55" s="122"/>
      <c r="BC55" s="122"/>
      <c r="BD55" s="122"/>
    </row>
    <row r="56" spans="1:56" ht="11.25" customHeight="1" x14ac:dyDescent="0.3">
      <c r="L56" s="79" t="s">
        <v>432</v>
      </c>
      <c r="M56" s="79" t="s">
        <v>349</v>
      </c>
      <c r="N56" s="79" t="s">
        <v>350</v>
      </c>
      <c r="O56" s="79" t="s">
        <v>351</v>
      </c>
      <c r="P56" s="79" t="s">
        <v>352</v>
      </c>
      <c r="Q56" s="79" t="s">
        <v>353</v>
      </c>
      <c r="R56" s="79" t="s">
        <v>354</v>
      </c>
      <c r="S56" s="79" t="s">
        <v>355</v>
      </c>
      <c r="T56" s="79" t="s">
        <v>358</v>
      </c>
      <c r="U56" s="79" t="s">
        <v>359</v>
      </c>
      <c r="V56" s="79" t="s">
        <v>360</v>
      </c>
      <c r="W56" s="79" t="s">
        <v>361</v>
      </c>
      <c r="X56" s="79" t="s">
        <v>362</v>
      </c>
      <c r="Y56" s="79" t="s">
        <v>363</v>
      </c>
      <c r="Z56" s="79" t="s">
        <v>364</v>
      </c>
      <c r="AA56" s="79" t="s">
        <v>366</v>
      </c>
      <c r="AB56" s="79" t="s">
        <v>368</v>
      </c>
      <c r="AC56" s="79" t="s">
        <v>369</v>
      </c>
      <c r="AD56" s="79" t="s">
        <v>371</v>
      </c>
      <c r="AE56" s="79" t="s">
        <v>372</v>
      </c>
      <c r="AF56" s="79" t="s">
        <v>373</v>
      </c>
      <c r="AG56" s="79" t="s">
        <v>374</v>
      </c>
      <c r="AI56" s="79" t="s">
        <v>432</v>
      </c>
      <c r="AJ56" s="79" t="s">
        <v>349</v>
      </c>
      <c r="AK56" s="79" t="s">
        <v>350</v>
      </c>
      <c r="AL56" s="79" t="s">
        <v>351</v>
      </c>
      <c r="AM56" s="79" t="s">
        <v>352</v>
      </c>
      <c r="AN56" s="79" t="s">
        <v>353</v>
      </c>
      <c r="AO56" s="79" t="s">
        <v>354</v>
      </c>
      <c r="AP56" s="79" t="s">
        <v>355</v>
      </c>
      <c r="AQ56" s="79" t="s">
        <v>358</v>
      </c>
      <c r="AR56" s="79" t="s">
        <v>359</v>
      </c>
      <c r="AS56" s="79" t="s">
        <v>360</v>
      </c>
      <c r="AT56" s="79" t="s">
        <v>361</v>
      </c>
      <c r="AU56" s="79" t="s">
        <v>362</v>
      </c>
      <c r="AV56" s="79" t="s">
        <v>363</v>
      </c>
      <c r="AW56" s="79" t="s">
        <v>364</v>
      </c>
      <c r="AX56" s="79" t="s">
        <v>366</v>
      </c>
      <c r="AY56" s="79" t="s">
        <v>368</v>
      </c>
      <c r="AZ56" s="79" t="s">
        <v>369</v>
      </c>
      <c r="BA56" s="79" t="s">
        <v>371</v>
      </c>
      <c r="BB56" s="79" t="s">
        <v>372</v>
      </c>
      <c r="BC56" s="79" t="s">
        <v>373</v>
      </c>
      <c r="BD56" s="79" t="s">
        <v>374</v>
      </c>
    </row>
    <row r="57" spans="1:56" ht="11.25" customHeight="1" x14ac:dyDescent="0.3">
      <c r="A57" s="9" t="s">
        <v>36</v>
      </c>
      <c r="B57" s="9" t="s">
        <v>651</v>
      </c>
      <c r="C57" s="9" t="s">
        <v>652</v>
      </c>
      <c r="D57" s="9" t="s">
        <v>653</v>
      </c>
      <c r="E57" s="9" t="s">
        <v>654</v>
      </c>
      <c r="F57" s="9" t="s">
        <v>655</v>
      </c>
      <c r="G57" s="9" t="s">
        <v>656</v>
      </c>
      <c r="L57" s="78">
        <f>$I$5*$L$5</f>
        <v>0</v>
      </c>
      <c r="M57" s="78">
        <f>$I$5*$M$5</f>
        <v>0</v>
      </c>
      <c r="N57" s="78">
        <f ca="1">$I$5*$N$5</f>
        <v>0</v>
      </c>
      <c r="O57" s="78">
        <f>$I$5*$O$5</f>
        <v>0</v>
      </c>
      <c r="P57" s="78">
        <f>$I$5*$P$5</f>
        <v>0</v>
      </c>
      <c r="Q57" s="78">
        <f>$I$5*$Q$5</f>
        <v>0</v>
      </c>
      <c r="R57" s="78">
        <f>$I$5*$R$5</f>
        <v>0</v>
      </c>
      <c r="S57" s="78">
        <f>$I$5*$S$5</f>
        <v>0</v>
      </c>
      <c r="T57" s="78">
        <f>$I$5*$T$5</f>
        <v>0</v>
      </c>
      <c r="U57" s="78">
        <f>$I$5*$U$5</f>
        <v>0</v>
      </c>
      <c r="V57" s="78">
        <f>$I$5*$V$5</f>
        <v>0</v>
      </c>
      <c r="W57" s="78">
        <f>$I$5*$W$5</f>
        <v>0</v>
      </c>
      <c r="X57" s="78">
        <f>$I$5*$X$5</f>
        <v>0</v>
      </c>
      <c r="Y57" s="78">
        <f>$I$5*$Y$5</f>
        <v>0</v>
      </c>
      <c r="Z57" s="78">
        <f>$I$5*$Z$5</f>
        <v>0</v>
      </c>
      <c r="AA57" s="78">
        <f>$I$5*$AA$5</f>
        <v>0</v>
      </c>
      <c r="AB57" s="78">
        <f ca="1">$I$5*$AB$5</f>
        <v>0</v>
      </c>
      <c r="AC57" s="78">
        <f ca="1">$I$5*$AC$5</f>
        <v>0</v>
      </c>
      <c r="AD57" s="78">
        <f>$I$5*$AD$5</f>
        <v>0</v>
      </c>
      <c r="AE57" s="78">
        <f>$I$5*$AE$5</f>
        <v>0</v>
      </c>
      <c r="AF57" s="78">
        <f ca="1">$I$5*$AF$5</f>
        <v>0</v>
      </c>
      <c r="AG57" s="78">
        <f ca="1">$I$5*$AG$5</f>
        <v>0</v>
      </c>
      <c r="AI57" s="78">
        <f>$I$5*$AI$5</f>
        <v>0</v>
      </c>
      <c r="AJ57" s="78">
        <f>$I$5*$AJ$5</f>
        <v>0</v>
      </c>
      <c r="AK57" s="78">
        <f>$I$5*$AK$5</f>
        <v>0</v>
      </c>
      <c r="AL57" s="78">
        <f>$I$5*$AL$5</f>
        <v>0</v>
      </c>
      <c r="AM57" s="78">
        <f>$I$5*$AM$5</f>
        <v>0</v>
      </c>
      <c r="AN57" s="78">
        <f>$I$5*$AN$5</f>
        <v>0</v>
      </c>
      <c r="AO57" s="78">
        <f>$I$5*$AO$5</f>
        <v>0</v>
      </c>
      <c r="AP57" s="78">
        <f>$I$5*$AP$5</f>
        <v>0</v>
      </c>
      <c r="AQ57" s="78">
        <f>$I$5*$AQ$5</f>
        <v>0</v>
      </c>
      <c r="AR57" s="78">
        <f>$I$5*$AR$5</f>
        <v>0</v>
      </c>
      <c r="AS57" s="78">
        <f>$I$5*$AS$5</f>
        <v>0</v>
      </c>
      <c r="AT57" s="78">
        <f>$I$5*$AT$5</f>
        <v>0</v>
      </c>
      <c r="AU57" s="78">
        <f>$I$5*$AU$5</f>
        <v>0</v>
      </c>
      <c r="AV57" s="78">
        <f>$I$5*$AV$5</f>
        <v>0</v>
      </c>
      <c r="AW57" s="78">
        <f>$I$5*$AW$5</f>
        <v>0</v>
      </c>
      <c r="AX57" s="78">
        <f>$I$5*$AX$5</f>
        <v>0</v>
      </c>
      <c r="AY57" s="78">
        <f>$I$5*$AY$5</f>
        <v>0</v>
      </c>
      <c r="AZ57" s="78">
        <f>$I$5*$AZ$5</f>
        <v>0</v>
      </c>
      <c r="BA57" s="78">
        <f>$I$5*$BA$5</f>
        <v>0</v>
      </c>
      <c r="BB57" s="78">
        <f>$I$5*$BB$5</f>
        <v>0</v>
      </c>
      <c r="BC57" s="78">
        <f>$I$5*$BC$5</f>
        <v>0</v>
      </c>
      <c r="BD57" s="78">
        <f>$I$5*$BD$5</f>
        <v>0</v>
      </c>
    </row>
    <row r="58" spans="1:56" ht="11.25" customHeight="1" x14ac:dyDescent="0.3">
      <c r="A58" s="9" t="s">
        <v>36</v>
      </c>
      <c r="B58" s="9" t="s">
        <v>651</v>
      </c>
      <c r="C58" s="9" t="s">
        <v>652</v>
      </c>
      <c r="D58" s="9" t="s">
        <v>653</v>
      </c>
      <c r="E58" s="9" t="s">
        <v>654</v>
      </c>
      <c r="F58" s="9" t="s">
        <v>655</v>
      </c>
      <c r="G58" s="9" t="s">
        <v>657</v>
      </c>
      <c r="L58" s="78">
        <f>$I$6*$L$6</f>
        <v>0</v>
      </c>
      <c r="M58" s="78">
        <f>$I$6*$M$6</f>
        <v>0</v>
      </c>
      <c r="N58" s="78">
        <f ca="1">$I$6*$N$6</f>
        <v>0</v>
      </c>
      <c r="O58" s="78">
        <f>$I$6*$O$6</f>
        <v>0</v>
      </c>
      <c r="P58" s="78">
        <f>$I$6*$P$6</f>
        <v>0</v>
      </c>
      <c r="Q58" s="78">
        <f>$I$6*$Q$6</f>
        <v>0</v>
      </c>
      <c r="R58" s="78">
        <f>$I$6*$R$6</f>
        <v>0</v>
      </c>
      <c r="S58" s="78">
        <f>$I$6*$S$6</f>
        <v>0</v>
      </c>
      <c r="T58" s="78">
        <f>$I$6*$T$6</f>
        <v>0</v>
      </c>
      <c r="U58" s="78">
        <f>$I$6*$U$6</f>
        <v>0</v>
      </c>
      <c r="V58" s="78">
        <f>$I$6*$V$6</f>
        <v>0</v>
      </c>
      <c r="W58" s="78">
        <f>$I$6*$W$6</f>
        <v>0</v>
      </c>
      <c r="X58" s="78">
        <f>$I$6*$X$6</f>
        <v>0</v>
      </c>
      <c r="Y58" s="78">
        <f>$I$6*$Y$6</f>
        <v>0</v>
      </c>
      <c r="Z58" s="78">
        <f>$I$6*$Z$6</f>
        <v>0</v>
      </c>
      <c r="AA58" s="78">
        <f>$I$6*$AA$6</f>
        <v>0</v>
      </c>
      <c r="AB58" s="78">
        <f ca="1">$I$6*$AB$6</f>
        <v>0</v>
      </c>
      <c r="AC58" s="78">
        <f ca="1">$I$6*$AC$6</f>
        <v>0</v>
      </c>
      <c r="AD58" s="78">
        <f>$I$6*$AD$6</f>
        <v>0</v>
      </c>
      <c r="AE58" s="78">
        <f>$I$6*$AE$6</f>
        <v>0</v>
      </c>
      <c r="AF58" s="78">
        <f ca="1">$I$6*$AF$6</f>
        <v>0</v>
      </c>
      <c r="AG58" s="78">
        <f ca="1">$I$6*$AG$6</f>
        <v>0</v>
      </c>
      <c r="AI58" s="78">
        <f>$I$6*$AI$6</f>
        <v>0</v>
      </c>
      <c r="AJ58" s="78">
        <f>$I$6*$AJ$6</f>
        <v>0</v>
      </c>
      <c r="AK58" s="78">
        <f>$I$6*$AK$6</f>
        <v>0</v>
      </c>
      <c r="AL58" s="78">
        <f>$I$6*$AL$6</f>
        <v>0</v>
      </c>
      <c r="AM58" s="78">
        <f>$I$6*$AM$6</f>
        <v>0</v>
      </c>
      <c r="AN58" s="78">
        <f>$I$6*$AN$6</f>
        <v>0</v>
      </c>
      <c r="AO58" s="78">
        <f>$I$6*$AO$6</f>
        <v>0</v>
      </c>
      <c r="AP58" s="78">
        <f>$I$6*$AP$6</f>
        <v>0</v>
      </c>
      <c r="AQ58" s="78">
        <f>$I$6*$AQ$6</f>
        <v>0</v>
      </c>
      <c r="AR58" s="78">
        <f>$I$6*$AR$6</f>
        <v>0</v>
      </c>
      <c r="AS58" s="78">
        <f>$I$6*$AS$6</f>
        <v>0</v>
      </c>
      <c r="AT58" s="78">
        <f>$I$6*$AT$6</f>
        <v>0</v>
      </c>
      <c r="AU58" s="78">
        <f>$I$6*$AU$6</f>
        <v>0</v>
      </c>
      <c r="AV58" s="78">
        <f>$I$6*$AV$6</f>
        <v>0</v>
      </c>
      <c r="AW58" s="78">
        <f>$I$6*$AW$6</f>
        <v>0</v>
      </c>
      <c r="AX58" s="78">
        <f>$I$6*$AX$6</f>
        <v>0</v>
      </c>
      <c r="AY58" s="78">
        <f>$I$6*$AY$6</f>
        <v>0</v>
      </c>
      <c r="AZ58" s="78">
        <f>$I$6*$AZ$6</f>
        <v>0</v>
      </c>
      <c r="BA58" s="78">
        <f>$I$6*$BA$6</f>
        <v>0</v>
      </c>
      <c r="BB58" s="78">
        <f>$I$6*$BB$6</f>
        <v>0</v>
      </c>
      <c r="BC58" s="78">
        <f>$I$6*$BC$6</f>
        <v>0</v>
      </c>
      <c r="BD58" s="78">
        <f>$I$6*$BD$6</f>
        <v>0</v>
      </c>
    </row>
    <row r="59" spans="1:56" ht="11.25" customHeight="1" x14ac:dyDescent="0.3">
      <c r="A59" s="9" t="s">
        <v>36</v>
      </c>
      <c r="B59" s="9" t="s">
        <v>651</v>
      </c>
      <c r="C59" s="9" t="s">
        <v>652</v>
      </c>
      <c r="D59" s="9" t="s">
        <v>653</v>
      </c>
      <c r="E59" s="9" t="s">
        <v>654</v>
      </c>
      <c r="F59" s="9" t="s">
        <v>655</v>
      </c>
      <c r="G59" s="9" t="s">
        <v>658</v>
      </c>
      <c r="L59" s="78">
        <f>$I$7*$L$7</f>
        <v>0</v>
      </c>
      <c r="M59" s="78">
        <f>$I$7*$M$7</f>
        <v>0</v>
      </c>
      <c r="N59" s="78">
        <f ca="1">$I$7*$N$7</f>
        <v>0</v>
      </c>
      <c r="O59" s="78">
        <f>$I$7*$O$7</f>
        <v>0</v>
      </c>
      <c r="P59" s="78">
        <f>$I$7*$P$7</f>
        <v>0</v>
      </c>
      <c r="Q59" s="78">
        <f>$I$7*$Q$7</f>
        <v>0</v>
      </c>
      <c r="R59" s="78">
        <f>$I$7*$R$7</f>
        <v>0</v>
      </c>
      <c r="S59" s="78">
        <f>$I$7*$S$7</f>
        <v>0</v>
      </c>
      <c r="T59" s="78">
        <f>$I$7*$T$7</f>
        <v>0</v>
      </c>
      <c r="U59" s="78">
        <f>$I$7*$U$7</f>
        <v>0</v>
      </c>
      <c r="V59" s="78">
        <f>$I$7*$V$7</f>
        <v>0</v>
      </c>
      <c r="W59" s="78">
        <f>$I$7*$W$7</f>
        <v>0</v>
      </c>
      <c r="X59" s="78">
        <f>$I$7*$X$7</f>
        <v>0</v>
      </c>
      <c r="Y59" s="78">
        <f>$I$7*$Y$7</f>
        <v>0</v>
      </c>
      <c r="Z59" s="78">
        <f>$I$7*$Z$7</f>
        <v>0</v>
      </c>
      <c r="AA59" s="78">
        <f>$I$7*$AA$7</f>
        <v>0</v>
      </c>
      <c r="AB59" s="78">
        <f ca="1">$I$7*$AB$7</f>
        <v>0</v>
      </c>
      <c r="AC59" s="78">
        <f ca="1">$I$7*$AC$7</f>
        <v>0</v>
      </c>
      <c r="AD59" s="78">
        <f>$I$7*$AD$7</f>
        <v>0</v>
      </c>
      <c r="AE59" s="78">
        <f>$I$7*$AE$7</f>
        <v>0</v>
      </c>
      <c r="AF59" s="78">
        <f ca="1">$I$7*$AF$7</f>
        <v>0</v>
      </c>
      <c r="AG59" s="78">
        <f ca="1">$I$7*$AG$7</f>
        <v>0</v>
      </c>
      <c r="AI59" s="78">
        <f>$I$7*$AI$7</f>
        <v>0</v>
      </c>
      <c r="AJ59" s="78">
        <f>$I$7*$AJ$7</f>
        <v>0</v>
      </c>
      <c r="AK59" s="78">
        <f>$I$7*$AK$7</f>
        <v>0</v>
      </c>
      <c r="AL59" s="78">
        <f>$I$7*$AL$7</f>
        <v>0</v>
      </c>
      <c r="AM59" s="78">
        <f>$I$7*$AM$7</f>
        <v>0</v>
      </c>
      <c r="AN59" s="78">
        <f>$I$7*$AN$7</f>
        <v>0</v>
      </c>
      <c r="AO59" s="78">
        <f>$I$7*$AO$7</f>
        <v>0</v>
      </c>
      <c r="AP59" s="78">
        <f>$I$7*$AP$7</f>
        <v>0</v>
      </c>
      <c r="AQ59" s="78">
        <f>$I$7*$AQ$7</f>
        <v>0</v>
      </c>
      <c r="AR59" s="78">
        <f>$I$7*$AR$7</f>
        <v>0</v>
      </c>
      <c r="AS59" s="78">
        <f>$I$7*$AS$7</f>
        <v>0</v>
      </c>
      <c r="AT59" s="78">
        <f>$I$7*$AT$7</f>
        <v>0</v>
      </c>
      <c r="AU59" s="78">
        <f>$I$7*$AU$7</f>
        <v>0</v>
      </c>
      <c r="AV59" s="78">
        <f>$I$7*$AV$7</f>
        <v>0</v>
      </c>
      <c r="AW59" s="78">
        <f>$I$7*$AW$7</f>
        <v>0</v>
      </c>
      <c r="AX59" s="78">
        <f>$I$7*$AX$7</f>
        <v>0</v>
      </c>
      <c r="AY59" s="78">
        <f>$I$7*$AY$7</f>
        <v>0</v>
      </c>
      <c r="AZ59" s="78">
        <f>$I$7*$AZ$7</f>
        <v>0</v>
      </c>
      <c r="BA59" s="78">
        <f>$I$7*$BA$7</f>
        <v>0</v>
      </c>
      <c r="BB59" s="78">
        <f>$I$7*$BB$7</f>
        <v>0</v>
      </c>
      <c r="BC59" s="78">
        <f>$I$7*$BC$7</f>
        <v>0</v>
      </c>
      <c r="BD59" s="78">
        <f>$I$7*$BD$7</f>
        <v>0</v>
      </c>
    </row>
    <row r="60" spans="1:56" ht="11.25" customHeight="1" x14ac:dyDescent="0.3">
      <c r="A60" s="9" t="s">
        <v>36</v>
      </c>
      <c r="B60" s="9" t="s">
        <v>651</v>
      </c>
      <c r="C60" s="9" t="s">
        <v>652</v>
      </c>
      <c r="D60" s="9" t="s">
        <v>653</v>
      </c>
      <c r="E60" s="9" t="s">
        <v>659</v>
      </c>
      <c r="F60" s="9" t="s">
        <v>660</v>
      </c>
      <c r="G60" s="9" t="s">
        <v>661</v>
      </c>
      <c r="L60" s="78">
        <f>$I$8*$L$8</f>
        <v>0</v>
      </c>
      <c r="M60" s="78">
        <f>$I$8*$M$8</f>
        <v>0</v>
      </c>
      <c r="N60" s="78">
        <f ca="1">$I$8*$N$8</f>
        <v>0</v>
      </c>
      <c r="O60" s="78">
        <f>$I$8*$O$8</f>
        <v>0</v>
      </c>
      <c r="P60" s="78">
        <f>$I$8*$P$8</f>
        <v>0</v>
      </c>
      <c r="Q60" s="78">
        <f>$I$8*$Q$8</f>
        <v>0</v>
      </c>
      <c r="R60" s="78">
        <f>$I$8*$R$8</f>
        <v>0</v>
      </c>
      <c r="S60" s="78">
        <f>$I$8*$S$8</f>
        <v>0</v>
      </c>
      <c r="T60" s="78">
        <f>$I$8*$T$8</f>
        <v>0</v>
      </c>
      <c r="U60" s="78">
        <f>$I$8*$U$8</f>
        <v>0</v>
      </c>
      <c r="V60" s="78">
        <f>$I$8*$V$8</f>
        <v>0</v>
      </c>
      <c r="W60" s="78">
        <f>$I$8*$W$8</f>
        <v>0</v>
      </c>
      <c r="X60" s="78">
        <f>$I$8*$X$8</f>
        <v>0</v>
      </c>
      <c r="Y60" s="78">
        <f>$I$8*$Y$8</f>
        <v>0</v>
      </c>
      <c r="Z60" s="78">
        <f>$I$8*$Z$8</f>
        <v>0</v>
      </c>
      <c r="AA60" s="78">
        <f>$I$8*$AA$8</f>
        <v>0</v>
      </c>
      <c r="AB60" s="78">
        <f ca="1">$I$8*$AB$8</f>
        <v>0</v>
      </c>
      <c r="AC60" s="78">
        <f ca="1">$I$8*$AC$8</f>
        <v>0</v>
      </c>
      <c r="AD60" s="78">
        <f>$I$8*$AD$8</f>
        <v>0</v>
      </c>
      <c r="AE60" s="78">
        <f>$I$8*$AE$8</f>
        <v>0</v>
      </c>
      <c r="AF60" s="78">
        <f ca="1">$I$8*$AF$8</f>
        <v>0</v>
      </c>
      <c r="AG60" s="78">
        <f ca="1">$I$8*$AG$8</f>
        <v>0</v>
      </c>
      <c r="AI60" s="78">
        <f>$I$8*$AI$8</f>
        <v>0</v>
      </c>
      <c r="AJ60" s="78">
        <f>$I$8*$AJ$8</f>
        <v>0</v>
      </c>
      <c r="AK60" s="78">
        <f>$I$8*$AK$8</f>
        <v>0</v>
      </c>
      <c r="AL60" s="78">
        <f>$I$8*$AL$8</f>
        <v>0</v>
      </c>
      <c r="AM60" s="78">
        <f>$I$8*$AM$8</f>
        <v>0</v>
      </c>
      <c r="AN60" s="78">
        <f>$I$8*$AN$8</f>
        <v>0</v>
      </c>
      <c r="AO60" s="78">
        <f>$I$8*$AO$8</f>
        <v>0</v>
      </c>
      <c r="AP60" s="78">
        <f>$I$8*$AP$8</f>
        <v>0</v>
      </c>
      <c r="AQ60" s="78">
        <f>$I$8*$AQ$8</f>
        <v>0</v>
      </c>
      <c r="AR60" s="78">
        <f>$I$8*$AR$8</f>
        <v>0</v>
      </c>
      <c r="AS60" s="78">
        <f>$I$8*$AS$8</f>
        <v>0</v>
      </c>
      <c r="AT60" s="78">
        <f>$I$8*$AT$8</f>
        <v>0</v>
      </c>
      <c r="AU60" s="78">
        <f>$I$8*$AU$8</f>
        <v>0</v>
      </c>
      <c r="AV60" s="78">
        <f>$I$8*$AV$8</f>
        <v>0</v>
      </c>
      <c r="AW60" s="78">
        <f>$I$8*$AW$8</f>
        <v>0</v>
      </c>
      <c r="AX60" s="78">
        <f>$I$8*$AX$8</f>
        <v>0</v>
      </c>
      <c r="AY60" s="78">
        <f>$I$8*$AY$8</f>
        <v>0</v>
      </c>
      <c r="AZ60" s="78">
        <f>$I$8*$AZ$8</f>
        <v>0</v>
      </c>
      <c r="BA60" s="78">
        <f>$I$8*$BA$8</f>
        <v>0</v>
      </c>
      <c r="BB60" s="78">
        <f>$I$8*$BB$8</f>
        <v>0</v>
      </c>
      <c r="BC60" s="78">
        <f>$I$8*$BC$8</f>
        <v>0</v>
      </c>
      <c r="BD60" s="78">
        <f>$I$8*$BD$8</f>
        <v>0</v>
      </c>
    </row>
    <row r="61" spans="1:56" ht="11.25" customHeight="1" x14ac:dyDescent="0.3">
      <c r="A61" s="9" t="s">
        <v>36</v>
      </c>
      <c r="B61" s="9" t="s">
        <v>662</v>
      </c>
      <c r="C61" s="9" t="s">
        <v>663</v>
      </c>
      <c r="D61" s="9" t="s">
        <v>664</v>
      </c>
      <c r="E61" s="9" t="s">
        <v>665</v>
      </c>
      <c r="F61" s="9" t="s">
        <v>666</v>
      </c>
      <c r="G61" s="9" t="s">
        <v>667</v>
      </c>
      <c r="L61" s="78">
        <f>$I$9*$L$9</f>
        <v>0</v>
      </c>
      <c r="M61" s="78">
        <f>$I$9*$M$9</f>
        <v>0</v>
      </c>
      <c r="N61" s="78">
        <f ca="1">$I$9*$N$9</f>
        <v>0</v>
      </c>
      <c r="O61" s="78">
        <f>$I$9*$O$9</f>
        <v>0</v>
      </c>
      <c r="P61" s="78">
        <f>$I$9*$P$9</f>
        <v>0</v>
      </c>
      <c r="Q61" s="78">
        <f>$I$9*$Q$9</f>
        <v>0</v>
      </c>
      <c r="R61" s="78">
        <f>$I$9*$R$9</f>
        <v>0</v>
      </c>
      <c r="S61" s="78">
        <f>$I$9*$S$9</f>
        <v>0</v>
      </c>
      <c r="T61" s="78">
        <f>$I$9*$T$9</f>
        <v>0</v>
      </c>
      <c r="U61" s="78">
        <f>$I$9*$U$9</f>
        <v>0</v>
      </c>
      <c r="V61" s="78">
        <f>$I$9*$V$9</f>
        <v>0</v>
      </c>
      <c r="W61" s="78">
        <f>$I$9*$W$9</f>
        <v>0</v>
      </c>
      <c r="X61" s="78">
        <f>$I$9*$X$9</f>
        <v>0</v>
      </c>
      <c r="Y61" s="78">
        <f>$I$9*$Y$9</f>
        <v>0</v>
      </c>
      <c r="Z61" s="78">
        <f>$I$9*$Z$9</f>
        <v>0</v>
      </c>
      <c r="AA61" s="78">
        <f>$I$9*$AA$9</f>
        <v>0</v>
      </c>
      <c r="AB61" s="78">
        <f ca="1">$I$9*$AB$9</f>
        <v>0</v>
      </c>
      <c r="AC61" s="78">
        <f ca="1">$I$9*$AC$9</f>
        <v>0</v>
      </c>
      <c r="AD61" s="78">
        <f>$I$9*$AD$9</f>
        <v>0</v>
      </c>
      <c r="AE61" s="78">
        <f>$I$9*$AE$9</f>
        <v>0</v>
      </c>
      <c r="AF61" s="78">
        <f ca="1">$I$9*$AF$9</f>
        <v>0</v>
      </c>
      <c r="AG61" s="78">
        <f ca="1">$I$9*$AG$9</f>
        <v>0</v>
      </c>
      <c r="AI61" s="78">
        <f>$I$9*$AI$9</f>
        <v>0</v>
      </c>
      <c r="AJ61" s="78">
        <f>$I$9*$AJ$9</f>
        <v>0</v>
      </c>
      <c r="AK61" s="78">
        <f>$I$9*$AK$9</f>
        <v>0</v>
      </c>
      <c r="AL61" s="78">
        <f>$I$9*$AL$9</f>
        <v>0</v>
      </c>
      <c r="AM61" s="78">
        <f>$I$9*$AM$9</f>
        <v>0</v>
      </c>
      <c r="AN61" s="78">
        <f>$I$9*$AN$9</f>
        <v>0</v>
      </c>
      <c r="AO61" s="78">
        <f>$I$9*$AO$9</f>
        <v>0</v>
      </c>
      <c r="AP61" s="78">
        <f>$I$9*$AP$9</f>
        <v>0</v>
      </c>
      <c r="AQ61" s="78">
        <f>$I$9*$AQ$9</f>
        <v>0</v>
      </c>
      <c r="AR61" s="78">
        <f>$I$9*$AR$9</f>
        <v>0</v>
      </c>
      <c r="AS61" s="78">
        <f>$I$9*$AS$9</f>
        <v>0</v>
      </c>
      <c r="AT61" s="78">
        <f>$I$9*$AT$9</f>
        <v>0</v>
      </c>
      <c r="AU61" s="78">
        <f>$I$9*$AU$9</f>
        <v>0</v>
      </c>
      <c r="AV61" s="78">
        <f>$I$9*$AV$9</f>
        <v>0</v>
      </c>
      <c r="AW61" s="78">
        <f>$I$9*$AW$9</f>
        <v>0</v>
      </c>
      <c r="AX61" s="78">
        <f>$I$9*$AX$9</f>
        <v>0</v>
      </c>
      <c r="AY61" s="78">
        <f>$I$9*$AY$9</f>
        <v>0</v>
      </c>
      <c r="AZ61" s="78">
        <f>$I$9*$AZ$9</f>
        <v>0</v>
      </c>
      <c r="BA61" s="78">
        <f>$I$9*$BA$9</f>
        <v>0</v>
      </c>
      <c r="BB61" s="78">
        <f>$I$9*$BB$9</f>
        <v>0</v>
      </c>
      <c r="BC61" s="78">
        <f>$I$9*$BC$9</f>
        <v>0</v>
      </c>
      <c r="BD61" s="78">
        <f>$I$9*$BD$9</f>
        <v>0</v>
      </c>
    </row>
    <row r="62" spans="1:56" ht="11.25" customHeight="1" x14ac:dyDescent="0.3">
      <c r="A62" s="9" t="s">
        <v>36</v>
      </c>
      <c r="B62" s="9" t="s">
        <v>668</v>
      </c>
      <c r="C62" s="9" t="s">
        <v>669</v>
      </c>
      <c r="D62" s="9" t="s">
        <v>670</v>
      </c>
      <c r="E62" s="9" t="s">
        <v>671</v>
      </c>
      <c r="F62" s="9" t="s">
        <v>672</v>
      </c>
      <c r="G62" s="9" t="s">
        <v>673</v>
      </c>
      <c r="L62" s="78">
        <f>$I$10*$L$10</f>
        <v>0</v>
      </c>
      <c r="M62" s="78">
        <f>$I$10*$M$10</f>
        <v>0</v>
      </c>
      <c r="N62" s="78">
        <f ca="1">$I$10*$N$10</f>
        <v>0</v>
      </c>
      <c r="O62" s="78">
        <f>$I$10*$O$10</f>
        <v>0</v>
      </c>
      <c r="P62" s="78">
        <f>$I$10*$P$10</f>
        <v>0</v>
      </c>
      <c r="Q62" s="78">
        <f>$I$10*$Q$10</f>
        <v>0</v>
      </c>
      <c r="R62" s="78">
        <f>$I$10*$R$10</f>
        <v>0</v>
      </c>
      <c r="S62" s="78">
        <f>$I$10*$S$10</f>
        <v>0</v>
      </c>
      <c r="T62" s="78">
        <f>$I$10*$T$10</f>
        <v>0</v>
      </c>
      <c r="U62" s="78">
        <f>$I$10*$U$10</f>
        <v>0</v>
      </c>
      <c r="V62" s="78">
        <f>$I$10*$V$10</f>
        <v>0</v>
      </c>
      <c r="W62" s="78">
        <f>$I$10*$W$10</f>
        <v>0</v>
      </c>
      <c r="X62" s="78">
        <f>$I$10*$X$10</f>
        <v>442557.66652777395</v>
      </c>
      <c r="Y62" s="78">
        <f>$I$10*$Y$10</f>
        <v>0</v>
      </c>
      <c r="Z62" s="78">
        <f>$I$10*$Z$10</f>
        <v>0</v>
      </c>
      <c r="AA62" s="78">
        <f>$I$10*$AA$10</f>
        <v>598411.93999010161</v>
      </c>
      <c r="AB62" s="78">
        <f ca="1">$I$10*$AB$10</f>
        <v>0</v>
      </c>
      <c r="AC62" s="78">
        <f ca="1">$I$10*$AC$10</f>
        <v>0</v>
      </c>
      <c r="AD62" s="78">
        <f>$I$10*$AD$10</f>
        <v>0</v>
      </c>
      <c r="AE62" s="78">
        <f>$I$10*$AE$10</f>
        <v>0</v>
      </c>
      <c r="AF62" s="78">
        <f ca="1">$I$10*$AF$10</f>
        <v>0</v>
      </c>
      <c r="AG62" s="78">
        <f ca="1">$I$10*$AG$10</f>
        <v>0</v>
      </c>
      <c r="AI62" s="78">
        <f>$I$10*$AI$10</f>
        <v>0</v>
      </c>
      <c r="AJ62" s="78">
        <f>$I$10*$AJ$10</f>
        <v>0</v>
      </c>
      <c r="AK62" s="78">
        <f>$I$10*$AK$10</f>
        <v>0</v>
      </c>
      <c r="AL62" s="78">
        <f>$I$10*$AL$10</f>
        <v>0</v>
      </c>
      <c r="AM62" s="78">
        <f>$I$10*$AM$10</f>
        <v>0</v>
      </c>
      <c r="AN62" s="78">
        <f>$I$10*$AN$10</f>
        <v>0</v>
      </c>
      <c r="AO62" s="78">
        <f>$I$10*$AO$10</f>
        <v>0</v>
      </c>
      <c r="AP62" s="78">
        <f>$I$10*$AP$10</f>
        <v>0</v>
      </c>
      <c r="AQ62" s="78">
        <f>$I$10*$AQ$10</f>
        <v>0</v>
      </c>
      <c r="AR62" s="78">
        <f>$I$10*$AR$10</f>
        <v>0</v>
      </c>
      <c r="AS62" s="78">
        <f>$I$10*$AS$10</f>
        <v>0</v>
      </c>
      <c r="AT62" s="78">
        <f>$I$10*$AT$10</f>
        <v>0</v>
      </c>
      <c r="AU62" s="78">
        <f>$I$10*$AU$10</f>
        <v>235089.94245566093</v>
      </c>
      <c r="AV62" s="78">
        <f>$I$10*$AV$10</f>
        <v>0</v>
      </c>
      <c r="AW62" s="78">
        <f>$I$10*$AW$10</f>
        <v>0</v>
      </c>
      <c r="AX62" s="78">
        <f>$I$10*$AX$10</f>
        <v>551116.71196671703</v>
      </c>
      <c r="AY62" s="78">
        <f>$I$10*$AY$10</f>
        <v>16193.840230336928</v>
      </c>
      <c r="AZ62" s="78">
        <f>$I$10*$AZ$10</f>
        <v>0</v>
      </c>
      <c r="BA62" s="78">
        <f>$I$10*$BA$10</f>
        <v>0</v>
      </c>
      <c r="BB62" s="78">
        <f>$I$10*$BB$10</f>
        <v>0</v>
      </c>
      <c r="BC62" s="78">
        <f>$I$10*$BC$10</f>
        <v>0</v>
      </c>
      <c r="BD62" s="78">
        <f>$I$10*$BD$10</f>
        <v>0</v>
      </c>
    </row>
    <row r="63" spans="1:56" ht="11.25" customHeight="1" x14ac:dyDescent="0.3">
      <c r="A63" s="9" t="s">
        <v>36</v>
      </c>
      <c r="B63" s="9" t="s">
        <v>668</v>
      </c>
      <c r="C63" s="9" t="s">
        <v>669</v>
      </c>
      <c r="D63" s="9" t="s">
        <v>670</v>
      </c>
      <c r="E63" s="9" t="s">
        <v>671</v>
      </c>
      <c r="F63" s="9" t="s">
        <v>672</v>
      </c>
      <c r="G63" s="9" t="s">
        <v>674</v>
      </c>
      <c r="L63" s="78">
        <f>$I$11*$L$11</f>
        <v>6134.098748556401</v>
      </c>
      <c r="M63" s="78">
        <f>$I$11*$M$11</f>
        <v>266.55744851444331</v>
      </c>
      <c r="N63" s="78">
        <f ca="1">$I$11*$N$11</f>
        <v>0</v>
      </c>
      <c r="O63" s="78">
        <f>$I$11*$O$11</f>
        <v>0</v>
      </c>
      <c r="P63" s="78">
        <f>$I$11*$P$11</f>
        <v>0</v>
      </c>
      <c r="Q63" s="78">
        <f>$I$11*$Q$11</f>
        <v>9951.8716379044799</v>
      </c>
      <c r="R63" s="78">
        <f>$I$11*$R$11</f>
        <v>2055.8794650967479</v>
      </c>
      <c r="S63" s="78">
        <f>$I$11*$S$11</f>
        <v>0</v>
      </c>
      <c r="T63" s="78">
        <f>$I$11*$T$11</f>
        <v>0</v>
      </c>
      <c r="U63" s="78">
        <f>$I$11*$U$11</f>
        <v>0</v>
      </c>
      <c r="V63" s="78">
        <f>$I$11*$V$11</f>
        <v>0</v>
      </c>
      <c r="W63" s="78">
        <f>$I$11*$W$11</f>
        <v>0</v>
      </c>
      <c r="X63" s="78">
        <f>$I$11*$X$11</f>
        <v>318929.54209020559</v>
      </c>
      <c r="Y63" s="78">
        <f>$I$11*$Y$11</f>
        <v>0</v>
      </c>
      <c r="Z63" s="78">
        <f>$I$11*$Z$11</f>
        <v>0</v>
      </c>
      <c r="AA63" s="78">
        <f>$I$11*$AA$11</f>
        <v>388408.35722263705</v>
      </c>
      <c r="AB63" s="78">
        <f ca="1">$I$11*$AB$11</f>
        <v>0</v>
      </c>
      <c r="AC63" s="78">
        <f ca="1">$I$11*$AC$11</f>
        <v>0</v>
      </c>
      <c r="AD63" s="78">
        <f>$I$11*$AD$11</f>
        <v>1566.2624251145139</v>
      </c>
      <c r="AE63" s="78">
        <f>$I$11*$AE$11</f>
        <v>0</v>
      </c>
      <c r="AF63" s="78">
        <f ca="1">$I$11*$AF$11</f>
        <v>356.29775528281419</v>
      </c>
      <c r="AG63" s="78">
        <f ca="1">$I$11*$AG$11</f>
        <v>0</v>
      </c>
      <c r="AI63" s="78">
        <f>$I$11*$AI$11</f>
        <v>0</v>
      </c>
      <c r="AJ63" s="78">
        <f>$I$11*$AJ$11</f>
        <v>279.77441591458961</v>
      </c>
      <c r="AK63" s="78">
        <f>$I$11*$AK$11</f>
        <v>0</v>
      </c>
      <c r="AL63" s="78">
        <f>$I$11*$AL$11</f>
        <v>0</v>
      </c>
      <c r="AM63" s="78">
        <f>$I$11*$AM$11</f>
        <v>0</v>
      </c>
      <c r="AN63" s="78">
        <f>$I$11*$AN$11</f>
        <v>14617.08695269491</v>
      </c>
      <c r="AO63" s="78">
        <f>$I$11*$AO$11</f>
        <v>1399.522035565607</v>
      </c>
      <c r="AP63" s="78">
        <f>$I$11*$AP$11</f>
        <v>0</v>
      </c>
      <c r="AQ63" s="78">
        <f>$I$11*$AQ$11</f>
        <v>0</v>
      </c>
      <c r="AR63" s="78">
        <f>$I$11*$AR$11</f>
        <v>0</v>
      </c>
      <c r="AS63" s="78">
        <f>$I$11*$AS$11</f>
        <v>0</v>
      </c>
      <c r="AT63" s="78">
        <f>$I$11*$AT$11</f>
        <v>0</v>
      </c>
      <c r="AU63" s="78">
        <f>$I$11*$AU$11</f>
        <v>169417.6985252029</v>
      </c>
      <c r="AV63" s="78">
        <f>$I$11*$AV$11</f>
        <v>0</v>
      </c>
      <c r="AW63" s="78">
        <f>$I$11*$AW$11</f>
        <v>0</v>
      </c>
      <c r="AX63" s="78">
        <f>$I$11*$AX$11</f>
        <v>357710.39368252765</v>
      </c>
      <c r="AY63" s="78">
        <f>$I$11*$AY$11</f>
        <v>11247.708573880895</v>
      </c>
      <c r="AZ63" s="78">
        <f>$I$11*$AZ$11</f>
        <v>0</v>
      </c>
      <c r="BA63" s="78">
        <f>$I$11*$BA$11</f>
        <v>1840.3637382311301</v>
      </c>
      <c r="BB63" s="78">
        <f>$I$11*$BB$11</f>
        <v>0</v>
      </c>
      <c r="BC63" s="78">
        <f>$I$11*$BC$11</f>
        <v>0</v>
      </c>
      <c r="BD63" s="78">
        <f>$I$11*$BD$11</f>
        <v>0</v>
      </c>
    </row>
    <row r="64" spans="1:56" ht="11.25" customHeight="1" x14ac:dyDescent="0.3">
      <c r="A64" s="9" t="s">
        <v>36</v>
      </c>
      <c r="B64" s="9" t="s">
        <v>668</v>
      </c>
      <c r="C64" s="9" t="s">
        <v>669</v>
      </c>
      <c r="D64" s="9" t="s">
        <v>670</v>
      </c>
      <c r="E64" s="9" t="s">
        <v>671</v>
      </c>
      <c r="F64" s="9" t="s">
        <v>672</v>
      </c>
      <c r="G64" s="9" t="s">
        <v>675</v>
      </c>
      <c r="L64" s="78">
        <f>$I$12*$L$12</f>
        <v>103773.08542292117</v>
      </c>
      <c r="M64" s="78">
        <f>$I$12*$M$12</f>
        <v>4509.4625973074026</v>
      </c>
      <c r="N64" s="78">
        <f ca="1">$I$12*$N$12</f>
        <v>0</v>
      </c>
      <c r="O64" s="78">
        <f>$I$12*$O$12</f>
        <v>0</v>
      </c>
      <c r="P64" s="78">
        <f>$I$12*$P$12</f>
        <v>0</v>
      </c>
      <c r="Q64" s="78">
        <f>$I$12*$Q$12</f>
        <v>168359.92831730205</v>
      </c>
      <c r="R64" s="78">
        <f>$I$12*$R$12</f>
        <v>34780.163165929291</v>
      </c>
      <c r="S64" s="78">
        <f>$I$12*$S$12</f>
        <v>0</v>
      </c>
      <c r="T64" s="78">
        <f>$I$12*$T$12</f>
        <v>0</v>
      </c>
      <c r="U64" s="78">
        <f>$I$12*$U$12</f>
        <v>0</v>
      </c>
      <c r="V64" s="78">
        <f>$I$12*$V$12</f>
        <v>0</v>
      </c>
      <c r="W64" s="78">
        <f>$I$12*$W$12</f>
        <v>0</v>
      </c>
      <c r="X64" s="78">
        <f>$I$12*$X$12</f>
        <v>0</v>
      </c>
      <c r="Y64" s="78">
        <f>$I$12*$Y$12</f>
        <v>0</v>
      </c>
      <c r="Z64" s="78">
        <f>$I$12*$Z$12</f>
        <v>0</v>
      </c>
      <c r="AA64" s="78">
        <f>$I$12*$AA$12</f>
        <v>0</v>
      </c>
      <c r="AB64" s="78">
        <f ca="1">$I$12*$AB$12</f>
        <v>0</v>
      </c>
      <c r="AC64" s="78">
        <f ca="1">$I$12*$AC$12</f>
        <v>0</v>
      </c>
      <c r="AD64" s="78">
        <f>$I$12*$AD$12</f>
        <v>26497.109208483365</v>
      </c>
      <c r="AE64" s="78">
        <f>$I$12*$AE$12</f>
        <v>0</v>
      </c>
      <c r="AF64" s="78">
        <f ca="1">$I$12*$AF$12</f>
        <v>6027.636481016878</v>
      </c>
      <c r="AG64" s="78">
        <f ca="1">$I$12*$AG$12</f>
        <v>0</v>
      </c>
      <c r="AI64" s="78">
        <f>$I$12*$AI$12</f>
        <v>0</v>
      </c>
      <c r="AJ64" s="78">
        <f>$I$12*$AJ$12</f>
        <v>4733.0595009878543</v>
      </c>
      <c r="AK64" s="78">
        <f>$I$12*$AK$12</f>
        <v>0</v>
      </c>
      <c r="AL64" s="78">
        <f>$I$12*$AL$12</f>
        <v>0</v>
      </c>
      <c r="AM64" s="78">
        <f>$I$12*$AM$12</f>
        <v>0</v>
      </c>
      <c r="AN64" s="78">
        <f>$I$12*$AN$12</f>
        <v>247283.30520164079</v>
      </c>
      <c r="AO64" s="78">
        <f>$I$12*$AO$12</f>
        <v>23676.293079270905</v>
      </c>
      <c r="AP64" s="78">
        <f>$I$12*$AP$12</f>
        <v>0</v>
      </c>
      <c r="AQ64" s="78">
        <f>$I$12*$AQ$12</f>
        <v>0</v>
      </c>
      <c r="AR64" s="78">
        <f>$I$12*$AR$12</f>
        <v>0</v>
      </c>
      <c r="AS64" s="78">
        <f>$I$12*$AS$12</f>
        <v>0</v>
      </c>
      <c r="AT64" s="78">
        <f>$I$12*$AT$12</f>
        <v>0</v>
      </c>
      <c r="AU64" s="78">
        <f>$I$12*$AU$12</f>
        <v>0</v>
      </c>
      <c r="AV64" s="78">
        <f>$I$12*$AV$12</f>
        <v>0</v>
      </c>
      <c r="AW64" s="78">
        <f>$I$12*$AW$12</f>
        <v>0</v>
      </c>
      <c r="AX64" s="78">
        <f>$I$12*$AX$12</f>
        <v>0</v>
      </c>
      <c r="AY64" s="78">
        <f>$I$12*$AY$12</f>
        <v>5742.4658492199987</v>
      </c>
      <c r="AZ64" s="78">
        <f>$I$12*$AZ$12</f>
        <v>0</v>
      </c>
      <c r="BA64" s="78">
        <f>$I$12*$BA$12</f>
        <v>31134.194483199488</v>
      </c>
      <c r="BB64" s="78">
        <f>$I$12*$BB$12</f>
        <v>0</v>
      </c>
      <c r="BC64" s="78">
        <f>$I$12*$BC$12</f>
        <v>0</v>
      </c>
      <c r="BD64" s="78">
        <f>$I$12*$BD$12</f>
        <v>0</v>
      </c>
    </row>
    <row r="65" spans="1:56" ht="11.25" customHeight="1" x14ac:dyDescent="0.3">
      <c r="A65" s="9" t="s">
        <v>36</v>
      </c>
      <c r="B65" s="9" t="s">
        <v>668</v>
      </c>
      <c r="C65" s="9" t="s">
        <v>669</v>
      </c>
      <c r="D65" s="9" t="s">
        <v>670</v>
      </c>
      <c r="E65" s="9" t="s">
        <v>676</v>
      </c>
      <c r="F65" s="9" t="s">
        <v>677</v>
      </c>
      <c r="G65" s="9" t="s">
        <v>678</v>
      </c>
      <c r="L65" s="78">
        <f>$I$13*$L$13</f>
        <v>0</v>
      </c>
      <c r="M65" s="78">
        <f>$I$13*$M$13</f>
        <v>0</v>
      </c>
      <c r="N65" s="78">
        <f ca="1">$I$13*$N$13</f>
        <v>0</v>
      </c>
      <c r="O65" s="78">
        <f>$I$13*$O$13</f>
        <v>0</v>
      </c>
      <c r="P65" s="78">
        <f>$I$13*$P$13</f>
        <v>0</v>
      </c>
      <c r="Q65" s="78">
        <f>$I$13*$Q$13</f>
        <v>0</v>
      </c>
      <c r="R65" s="78">
        <f>$I$13*$R$13</f>
        <v>0</v>
      </c>
      <c r="S65" s="78">
        <f>$I$13*$S$13</f>
        <v>0</v>
      </c>
      <c r="T65" s="78">
        <f>$I$13*$T$13</f>
        <v>0</v>
      </c>
      <c r="U65" s="78">
        <f>$I$13*$U$13</f>
        <v>0</v>
      </c>
      <c r="V65" s="78">
        <f>$I$13*$V$13</f>
        <v>0</v>
      </c>
      <c r="W65" s="78">
        <f>$I$13*$W$13</f>
        <v>0</v>
      </c>
      <c r="X65" s="78">
        <f>$I$13*$X$13</f>
        <v>0</v>
      </c>
      <c r="Y65" s="78">
        <f>$I$13*$Y$13</f>
        <v>0</v>
      </c>
      <c r="Z65" s="78">
        <f>$I$13*$Z$13</f>
        <v>0</v>
      </c>
      <c r="AA65" s="78">
        <f>$I$13*$AA$13</f>
        <v>0</v>
      </c>
      <c r="AB65" s="78">
        <f ca="1">$I$13*$AB$13</f>
        <v>0</v>
      </c>
      <c r="AC65" s="78">
        <f ca="1">$I$13*$AC$13</f>
        <v>0</v>
      </c>
      <c r="AD65" s="78">
        <f>$I$13*$AD$13</f>
        <v>0</v>
      </c>
      <c r="AE65" s="78">
        <f>$I$13*$AE$13</f>
        <v>0</v>
      </c>
      <c r="AF65" s="78">
        <f ca="1">$I$13*$AF$13</f>
        <v>0</v>
      </c>
      <c r="AG65" s="78">
        <f ca="1">$I$13*$AG$13</f>
        <v>0</v>
      </c>
      <c r="AI65" s="78">
        <f>$I$13*$AI$13</f>
        <v>0</v>
      </c>
      <c r="AJ65" s="78">
        <f>$I$13*$AJ$13</f>
        <v>0</v>
      </c>
      <c r="AK65" s="78">
        <f>$I$13*$AK$13</f>
        <v>0</v>
      </c>
      <c r="AL65" s="78">
        <f>$I$13*$AL$13</f>
        <v>0</v>
      </c>
      <c r="AM65" s="78">
        <f>$I$13*$AM$13</f>
        <v>0</v>
      </c>
      <c r="AN65" s="78">
        <f>$I$13*$AN$13</f>
        <v>0</v>
      </c>
      <c r="AO65" s="78">
        <f>$I$13*$AO$13</f>
        <v>0</v>
      </c>
      <c r="AP65" s="78">
        <f>$I$13*$AP$13</f>
        <v>0</v>
      </c>
      <c r="AQ65" s="78">
        <f>$I$13*$AQ$13</f>
        <v>0</v>
      </c>
      <c r="AR65" s="78">
        <f>$I$13*$AR$13</f>
        <v>0</v>
      </c>
      <c r="AS65" s="78">
        <f>$I$13*$AS$13</f>
        <v>0</v>
      </c>
      <c r="AT65" s="78">
        <f>$I$13*$AT$13</f>
        <v>0</v>
      </c>
      <c r="AU65" s="78">
        <f>$I$13*$AU$13</f>
        <v>0</v>
      </c>
      <c r="AV65" s="78">
        <f>$I$13*$AV$13</f>
        <v>0</v>
      </c>
      <c r="AW65" s="78">
        <f>$I$13*$AW$13</f>
        <v>0</v>
      </c>
      <c r="AX65" s="78">
        <f>$I$13*$AX$13</f>
        <v>0</v>
      </c>
      <c r="AY65" s="78">
        <f>$I$13*$AY$13</f>
        <v>0</v>
      </c>
      <c r="AZ65" s="78">
        <f>$I$13*$AZ$13</f>
        <v>0</v>
      </c>
      <c r="BA65" s="78">
        <f>$I$13*$BA$13</f>
        <v>0</v>
      </c>
      <c r="BB65" s="78">
        <f>$I$13*$BB$13</f>
        <v>0</v>
      </c>
      <c r="BC65" s="78">
        <f>$I$13*$BC$13</f>
        <v>0</v>
      </c>
      <c r="BD65" s="78">
        <f>$I$13*$BD$13</f>
        <v>0</v>
      </c>
    </row>
    <row r="66" spans="1:56" ht="11.25" customHeight="1" x14ac:dyDescent="0.3">
      <c r="A66" s="9" t="s">
        <v>36</v>
      </c>
      <c r="B66" s="9" t="s">
        <v>668</v>
      </c>
      <c r="C66" s="9" t="s">
        <v>669</v>
      </c>
      <c r="D66" s="9" t="s">
        <v>670</v>
      </c>
      <c r="E66" s="9" t="s">
        <v>676</v>
      </c>
      <c r="F66" s="9" t="s">
        <v>677</v>
      </c>
      <c r="G66" s="9" t="s">
        <v>679</v>
      </c>
      <c r="L66" s="78">
        <f>$I$14*$L$14</f>
        <v>0</v>
      </c>
      <c r="M66" s="78">
        <f>$I$14*$M$14</f>
        <v>0</v>
      </c>
      <c r="N66" s="78">
        <f ca="1">$I$14*$N$14</f>
        <v>0</v>
      </c>
      <c r="O66" s="78">
        <f>$I$14*$O$14</f>
        <v>0</v>
      </c>
      <c r="P66" s="78">
        <f>$I$14*$P$14</f>
        <v>0</v>
      </c>
      <c r="Q66" s="78">
        <f>$I$14*$Q$14</f>
        <v>0</v>
      </c>
      <c r="R66" s="78">
        <f>$I$14*$R$14</f>
        <v>0</v>
      </c>
      <c r="S66" s="78">
        <f>$I$14*$S$14</f>
        <v>0</v>
      </c>
      <c r="T66" s="78">
        <f>$I$14*$T$14</f>
        <v>0</v>
      </c>
      <c r="U66" s="78">
        <f>$I$14*$U$14</f>
        <v>0</v>
      </c>
      <c r="V66" s="78">
        <f>$I$14*$V$14</f>
        <v>0</v>
      </c>
      <c r="W66" s="78">
        <f>$I$14*$W$14</f>
        <v>0</v>
      </c>
      <c r="X66" s="78">
        <f>$I$14*$X$14</f>
        <v>0</v>
      </c>
      <c r="Y66" s="78">
        <f>$I$14*$Y$14</f>
        <v>0</v>
      </c>
      <c r="Z66" s="78">
        <f>$I$14*$Z$14</f>
        <v>0</v>
      </c>
      <c r="AA66" s="78">
        <f>$I$14*$AA$14</f>
        <v>0</v>
      </c>
      <c r="AB66" s="78">
        <f ca="1">$I$14*$AB$14</f>
        <v>0</v>
      </c>
      <c r="AC66" s="78">
        <f ca="1">$I$14*$AC$14</f>
        <v>0</v>
      </c>
      <c r="AD66" s="78">
        <f>$I$14*$AD$14</f>
        <v>0</v>
      </c>
      <c r="AE66" s="78">
        <f>$I$14*$AE$14</f>
        <v>0</v>
      </c>
      <c r="AF66" s="78">
        <f ca="1">$I$14*$AF$14</f>
        <v>0</v>
      </c>
      <c r="AG66" s="78">
        <f ca="1">$I$14*$AG$14</f>
        <v>0</v>
      </c>
      <c r="AI66" s="78">
        <f>$I$14*$AI$14</f>
        <v>0</v>
      </c>
      <c r="AJ66" s="78">
        <f>$I$14*$AJ$14</f>
        <v>0</v>
      </c>
      <c r="AK66" s="78">
        <f>$I$14*$AK$14</f>
        <v>0</v>
      </c>
      <c r="AL66" s="78">
        <f>$I$14*$AL$14</f>
        <v>0</v>
      </c>
      <c r="AM66" s="78">
        <f>$I$14*$AM$14</f>
        <v>0</v>
      </c>
      <c r="AN66" s="78">
        <f>$I$14*$AN$14</f>
        <v>0</v>
      </c>
      <c r="AO66" s="78">
        <f>$I$14*$AO$14</f>
        <v>0</v>
      </c>
      <c r="AP66" s="78">
        <f>$I$14*$AP$14</f>
        <v>0</v>
      </c>
      <c r="AQ66" s="78">
        <f>$I$14*$AQ$14</f>
        <v>0</v>
      </c>
      <c r="AR66" s="78">
        <f>$I$14*$AR$14</f>
        <v>0</v>
      </c>
      <c r="AS66" s="78">
        <f>$I$14*$AS$14</f>
        <v>0</v>
      </c>
      <c r="AT66" s="78">
        <f>$I$14*$AT$14</f>
        <v>0</v>
      </c>
      <c r="AU66" s="78">
        <f>$I$14*$AU$14</f>
        <v>0</v>
      </c>
      <c r="AV66" s="78">
        <f>$I$14*$AV$14</f>
        <v>0</v>
      </c>
      <c r="AW66" s="78">
        <f>$I$14*$AW$14</f>
        <v>0</v>
      </c>
      <c r="AX66" s="78">
        <f>$I$14*$AX$14</f>
        <v>0</v>
      </c>
      <c r="AY66" s="78">
        <f>$I$14*$AY$14</f>
        <v>0</v>
      </c>
      <c r="AZ66" s="78">
        <f>$I$14*$AZ$14</f>
        <v>0</v>
      </c>
      <c r="BA66" s="78">
        <f>$I$14*$BA$14</f>
        <v>0</v>
      </c>
      <c r="BB66" s="78">
        <f>$I$14*$BB$14</f>
        <v>0</v>
      </c>
      <c r="BC66" s="78">
        <f>$I$14*$BC$14</f>
        <v>0</v>
      </c>
      <c r="BD66" s="78">
        <f>$I$14*$BD$14</f>
        <v>0</v>
      </c>
    </row>
    <row r="67" spans="1:56" ht="11.25" customHeight="1" x14ac:dyDescent="0.3">
      <c r="A67" s="9" t="s">
        <v>77</v>
      </c>
      <c r="B67" s="9" t="s">
        <v>680</v>
      </c>
      <c r="C67" s="9" t="s">
        <v>681</v>
      </c>
      <c r="D67" s="9" t="s">
        <v>682</v>
      </c>
      <c r="E67" s="9" t="s">
        <v>683</v>
      </c>
      <c r="F67" s="9" t="s">
        <v>684</v>
      </c>
      <c r="G67" s="9" t="s">
        <v>685</v>
      </c>
      <c r="L67" s="78">
        <f>$I$15*$L$15</f>
        <v>0</v>
      </c>
      <c r="M67" s="78">
        <f>$I$15*$M$15</f>
        <v>1.096004880523288E-10</v>
      </c>
      <c r="N67" s="78">
        <f ca="1">$I$15*$N$15</f>
        <v>0</v>
      </c>
      <c r="O67" s="78">
        <f>$I$15*$O$15</f>
        <v>0</v>
      </c>
      <c r="P67" s="78">
        <f>$I$15*$P$15</f>
        <v>0</v>
      </c>
      <c r="Q67" s="78">
        <f>$I$15*$Q$15</f>
        <v>0</v>
      </c>
      <c r="R67" s="78">
        <f>$I$15*$R$15</f>
        <v>0</v>
      </c>
      <c r="S67" s="78">
        <f>$I$15*$S$15</f>
        <v>0</v>
      </c>
      <c r="T67" s="78">
        <f>$I$15*$T$15</f>
        <v>0</v>
      </c>
      <c r="U67" s="78">
        <f>$I$15*$U$15</f>
        <v>0</v>
      </c>
      <c r="V67" s="78">
        <f>$I$15*$V$15</f>
        <v>0</v>
      </c>
      <c r="W67" s="78">
        <f>$I$15*$W$15</f>
        <v>0</v>
      </c>
      <c r="X67" s="78">
        <f>$I$15*$X$15</f>
        <v>0</v>
      </c>
      <c r="Y67" s="78">
        <f>$I$15*$Y$15</f>
        <v>0</v>
      </c>
      <c r="Z67" s="78">
        <f>$I$15*$Z$15</f>
        <v>0</v>
      </c>
      <c r="AA67" s="78">
        <f>$I$15*$AA$15</f>
        <v>3.4613387129741613E-8</v>
      </c>
      <c r="AB67" s="78">
        <f ca="1">$I$15*$AB$15</f>
        <v>0</v>
      </c>
      <c r="AC67" s="78">
        <f ca="1">$I$15*$AC$15</f>
        <v>0</v>
      </c>
      <c r="AD67" s="78">
        <f>$I$15*$AD$15</f>
        <v>0</v>
      </c>
      <c r="AE67" s="78">
        <f>$I$15*$AE$15</f>
        <v>0</v>
      </c>
      <c r="AF67" s="78">
        <f ca="1">$I$15*$AF$15</f>
        <v>0</v>
      </c>
      <c r="AG67" s="78">
        <f ca="1">$I$15*$AG$15</f>
        <v>0</v>
      </c>
      <c r="AI67" s="78">
        <f>$I$15*$AI$15</f>
        <v>0</v>
      </c>
      <c r="AJ67" s="78">
        <f>$I$15*$AJ$15</f>
        <v>1.1281258185512901E-10</v>
      </c>
      <c r="AK67" s="78">
        <f>$I$15*$AK$15</f>
        <v>0</v>
      </c>
      <c r="AL67" s="78">
        <f>$I$15*$AL$15</f>
        <v>0</v>
      </c>
      <c r="AM67" s="78">
        <f>$I$15*$AM$15</f>
        <v>0</v>
      </c>
      <c r="AN67" s="78">
        <f>$I$15*$AN$15</f>
        <v>0</v>
      </c>
      <c r="AO67" s="78">
        <f>$I$15*$AO$15</f>
        <v>0</v>
      </c>
      <c r="AP67" s="78">
        <f>$I$15*$AP$15</f>
        <v>0</v>
      </c>
      <c r="AQ67" s="78">
        <f>$I$15*$AQ$15</f>
        <v>0</v>
      </c>
      <c r="AR67" s="78">
        <f>$I$15*$AR$15</f>
        <v>0</v>
      </c>
      <c r="AS67" s="78">
        <f>$I$15*$AS$15</f>
        <v>0</v>
      </c>
      <c r="AT67" s="78">
        <f>$I$15*$AT$15</f>
        <v>0</v>
      </c>
      <c r="AU67" s="78">
        <f>$I$15*$AU$15</f>
        <v>0</v>
      </c>
      <c r="AV67" s="78">
        <f>$I$15*$AV$15</f>
        <v>0</v>
      </c>
      <c r="AW67" s="78">
        <f>$I$15*$AW$15</f>
        <v>0</v>
      </c>
      <c r="AX67" s="78">
        <f>$I$15*$AX$15</f>
        <v>3.1877364310456804E-8</v>
      </c>
      <c r="AY67" s="78">
        <f>$I$15*$AY$15</f>
        <v>6.1775335603543906E-10</v>
      </c>
      <c r="AZ67" s="78">
        <f>$I$15*$AZ$15</f>
        <v>0</v>
      </c>
      <c r="BA67" s="78">
        <f>$I$15*$BA$15</f>
        <v>0</v>
      </c>
      <c r="BB67" s="78">
        <f>$I$15*$BB$15</f>
        <v>0</v>
      </c>
      <c r="BC67" s="78">
        <f>$I$15*$BC$15</f>
        <v>0</v>
      </c>
      <c r="BD67" s="78">
        <f>$I$15*$BD$15</f>
        <v>0</v>
      </c>
    </row>
    <row r="68" spans="1:56" ht="11.25" customHeight="1" x14ac:dyDescent="0.3">
      <c r="A68" s="9" t="s">
        <v>77</v>
      </c>
      <c r="B68" s="9" t="s">
        <v>680</v>
      </c>
      <c r="C68" s="9" t="s">
        <v>681</v>
      </c>
      <c r="D68" s="9" t="s">
        <v>682</v>
      </c>
      <c r="E68" s="9" t="s">
        <v>686</v>
      </c>
      <c r="F68" s="9" t="s">
        <v>687</v>
      </c>
      <c r="G68" s="9" t="s">
        <v>688</v>
      </c>
      <c r="L68" s="78">
        <f>$I$16*$L$16</f>
        <v>0</v>
      </c>
      <c r="M68" s="78">
        <f>$I$16*$M$16</f>
        <v>1.096004880523288E-10</v>
      </c>
      <c r="N68" s="78">
        <f ca="1">$I$16*$N$16</f>
        <v>0</v>
      </c>
      <c r="O68" s="78">
        <f>$I$16*$O$16</f>
        <v>0</v>
      </c>
      <c r="P68" s="78">
        <f>$I$16*$P$16</f>
        <v>0</v>
      </c>
      <c r="Q68" s="78">
        <f>$I$16*$Q$16</f>
        <v>0</v>
      </c>
      <c r="R68" s="78">
        <f>$I$16*$R$16</f>
        <v>0</v>
      </c>
      <c r="S68" s="78">
        <f>$I$16*$S$16</f>
        <v>0</v>
      </c>
      <c r="T68" s="78">
        <f>$I$16*$T$16</f>
        <v>0</v>
      </c>
      <c r="U68" s="78">
        <f>$I$16*$U$16</f>
        <v>0</v>
      </c>
      <c r="V68" s="78">
        <f>$I$16*$V$16</f>
        <v>0</v>
      </c>
      <c r="W68" s="78">
        <f>$I$16*$W$16</f>
        <v>0</v>
      </c>
      <c r="X68" s="78">
        <f>$I$16*$X$16</f>
        <v>0</v>
      </c>
      <c r="Y68" s="78">
        <f>$I$16*$Y$16</f>
        <v>0</v>
      </c>
      <c r="Z68" s="78">
        <f>$I$16*$Z$16</f>
        <v>0</v>
      </c>
      <c r="AA68" s="78">
        <f>$I$16*$AA$16</f>
        <v>1.1155655570863966E-7</v>
      </c>
      <c r="AB68" s="78">
        <f ca="1">$I$16*$AB$16</f>
        <v>0</v>
      </c>
      <c r="AC68" s="78">
        <f ca="1">$I$16*$AC$16</f>
        <v>0</v>
      </c>
      <c r="AD68" s="78">
        <f>$I$16*$AD$16</f>
        <v>0</v>
      </c>
      <c r="AE68" s="78">
        <f>$I$16*$AE$16</f>
        <v>0</v>
      </c>
      <c r="AF68" s="78">
        <f ca="1">$I$16*$AF$16</f>
        <v>0</v>
      </c>
      <c r="AG68" s="78">
        <f ca="1">$I$16*$AG$16</f>
        <v>0</v>
      </c>
      <c r="AI68" s="78">
        <f>$I$16*$AI$16</f>
        <v>0</v>
      </c>
      <c r="AJ68" s="78">
        <f>$I$16*$AJ$16</f>
        <v>1.1281258185512901E-10</v>
      </c>
      <c r="AK68" s="78">
        <f>$I$16*$AK$16</f>
        <v>0</v>
      </c>
      <c r="AL68" s="78">
        <f>$I$16*$AL$16</f>
        <v>0</v>
      </c>
      <c r="AM68" s="78">
        <f>$I$16*$AM$16</f>
        <v>0</v>
      </c>
      <c r="AN68" s="78">
        <f>$I$16*$AN$16</f>
        <v>0</v>
      </c>
      <c r="AO68" s="78">
        <f>$I$16*$AO$16</f>
        <v>0</v>
      </c>
      <c r="AP68" s="78">
        <f>$I$16*$AP$16</f>
        <v>0</v>
      </c>
      <c r="AQ68" s="78">
        <f>$I$16*$AQ$16</f>
        <v>0</v>
      </c>
      <c r="AR68" s="78">
        <f>$I$16*$AR$16</f>
        <v>0</v>
      </c>
      <c r="AS68" s="78">
        <f>$I$16*$AS$16</f>
        <v>0</v>
      </c>
      <c r="AT68" s="78">
        <f>$I$16*$AT$16</f>
        <v>0</v>
      </c>
      <c r="AU68" s="78">
        <f>$I$16*$AU$16</f>
        <v>0</v>
      </c>
      <c r="AV68" s="78">
        <f>$I$16*$AV$16</f>
        <v>0</v>
      </c>
      <c r="AW68" s="78">
        <f>$I$16*$AW$16</f>
        <v>0</v>
      </c>
      <c r="AX68" s="78">
        <f>$I$16*$AX$16</f>
        <v>1.0273944667426501E-7</v>
      </c>
      <c r="AY68" s="78">
        <f>$I$16*$AY$16</f>
        <v>1.9861201154354502E-9</v>
      </c>
      <c r="AZ68" s="78">
        <f>$I$16*$AZ$16</f>
        <v>0</v>
      </c>
      <c r="BA68" s="78">
        <f>$I$16*$BA$16</f>
        <v>0</v>
      </c>
      <c r="BB68" s="78">
        <f>$I$16*$BB$16</f>
        <v>0</v>
      </c>
      <c r="BC68" s="78">
        <f>$I$16*$BC$16</f>
        <v>0</v>
      </c>
      <c r="BD68" s="78">
        <f>$I$16*$BD$16</f>
        <v>0</v>
      </c>
    </row>
    <row r="69" spans="1:56" ht="11.25" customHeight="1" x14ac:dyDescent="0.3">
      <c r="A69" s="9" t="s">
        <v>22</v>
      </c>
      <c r="B69" s="9" t="s">
        <v>689</v>
      </c>
      <c r="C69" s="9" t="s">
        <v>690</v>
      </c>
      <c r="D69" s="9" t="s">
        <v>691</v>
      </c>
      <c r="E69" s="9" t="s">
        <v>692</v>
      </c>
      <c r="F69" s="9" t="s">
        <v>693</v>
      </c>
      <c r="G69" s="9" t="s">
        <v>694</v>
      </c>
      <c r="L69" s="78">
        <f>$I$17*$L$17</f>
        <v>0</v>
      </c>
      <c r="M69" s="78">
        <f>$I$17*$M$17</f>
        <v>0</v>
      </c>
      <c r="N69" s="78">
        <f ca="1">$I$17*$N$17</f>
        <v>0</v>
      </c>
      <c r="O69" s="78">
        <f>$I$17*$O$17</f>
        <v>0</v>
      </c>
      <c r="P69" s="78">
        <f>$I$17*$P$17</f>
        <v>0</v>
      </c>
      <c r="Q69" s="78">
        <f>$I$17*$Q$17</f>
        <v>0</v>
      </c>
      <c r="R69" s="78">
        <f>$I$17*$R$17</f>
        <v>0</v>
      </c>
      <c r="S69" s="78">
        <f>$I$17*$S$17</f>
        <v>0</v>
      </c>
      <c r="T69" s="78">
        <f>$I$17*$T$17</f>
        <v>0</v>
      </c>
      <c r="U69" s="78">
        <f>$I$17*$U$17</f>
        <v>0</v>
      </c>
      <c r="V69" s="78">
        <f>$I$17*$V$17</f>
        <v>0</v>
      </c>
      <c r="W69" s="78">
        <f>$I$17*$W$17</f>
        <v>0</v>
      </c>
      <c r="X69" s="78">
        <f>$I$17*$X$17</f>
        <v>0</v>
      </c>
      <c r="Y69" s="78">
        <f>$I$17*$Y$17</f>
        <v>0</v>
      </c>
      <c r="Z69" s="78">
        <f>$I$17*$Z$17</f>
        <v>0</v>
      </c>
      <c r="AA69" s="78">
        <f>$I$17*$AA$17</f>
        <v>0</v>
      </c>
      <c r="AB69" s="78">
        <f ca="1">$I$17*$AB$17</f>
        <v>0</v>
      </c>
      <c r="AC69" s="78">
        <f ca="1">$I$17*$AC$17</f>
        <v>0</v>
      </c>
      <c r="AD69" s="78">
        <f>$I$17*$AD$17</f>
        <v>0</v>
      </c>
      <c r="AE69" s="78">
        <f>$I$17*$AE$17</f>
        <v>0</v>
      </c>
      <c r="AF69" s="78">
        <f ca="1">$I$17*$AF$17</f>
        <v>0</v>
      </c>
      <c r="AG69" s="78">
        <f ca="1">$I$17*$AG$17</f>
        <v>0</v>
      </c>
      <c r="AI69" s="78">
        <f>$I$17*$AI$17</f>
        <v>0</v>
      </c>
      <c r="AJ69" s="78">
        <f>$I$17*$AJ$17</f>
        <v>0</v>
      </c>
      <c r="AK69" s="78">
        <f>$I$17*$AK$17</f>
        <v>0</v>
      </c>
      <c r="AL69" s="78">
        <f>$I$17*$AL$17</f>
        <v>0</v>
      </c>
      <c r="AM69" s="78">
        <f>$I$17*$AM$17</f>
        <v>0</v>
      </c>
      <c r="AN69" s="78">
        <f>$I$17*$AN$17</f>
        <v>0</v>
      </c>
      <c r="AO69" s="78">
        <f>$I$17*$AO$17</f>
        <v>0</v>
      </c>
      <c r="AP69" s="78">
        <f>$I$17*$AP$17</f>
        <v>0</v>
      </c>
      <c r="AQ69" s="78">
        <f>$I$17*$AQ$17</f>
        <v>0</v>
      </c>
      <c r="AR69" s="78">
        <f>$I$17*$AR$17</f>
        <v>0</v>
      </c>
      <c r="AS69" s="78">
        <f>$I$17*$AS$17</f>
        <v>0</v>
      </c>
      <c r="AT69" s="78">
        <f>$I$17*$AT$17</f>
        <v>0</v>
      </c>
      <c r="AU69" s="78">
        <f>$I$17*$AU$17</f>
        <v>0</v>
      </c>
      <c r="AV69" s="78">
        <f>$I$17*$AV$17</f>
        <v>0</v>
      </c>
      <c r="AW69" s="78">
        <f>$I$17*$AW$17</f>
        <v>0</v>
      </c>
      <c r="AX69" s="78">
        <f>$I$17*$AX$17</f>
        <v>0</v>
      </c>
      <c r="AY69" s="78">
        <f>$I$17*$AY$17</f>
        <v>0</v>
      </c>
      <c r="AZ69" s="78">
        <f>$I$17*$AZ$17</f>
        <v>0</v>
      </c>
      <c r="BA69" s="78">
        <f>$I$17*$BA$17</f>
        <v>0</v>
      </c>
      <c r="BB69" s="78">
        <f>$I$17*$BB$17</f>
        <v>0</v>
      </c>
      <c r="BC69" s="78">
        <f>$I$17*$BC$17</f>
        <v>0</v>
      </c>
      <c r="BD69" s="78">
        <f>$I$17*$BD$17</f>
        <v>0</v>
      </c>
    </row>
    <row r="70" spans="1:56" ht="11.25" customHeight="1" x14ac:dyDescent="0.3">
      <c r="A70" s="9" t="s">
        <v>22</v>
      </c>
      <c r="B70" s="9" t="s">
        <v>689</v>
      </c>
      <c r="C70" s="9" t="s">
        <v>690</v>
      </c>
      <c r="D70" s="9" t="s">
        <v>691</v>
      </c>
      <c r="E70" s="9" t="s">
        <v>692</v>
      </c>
      <c r="F70" s="9" t="s">
        <v>693</v>
      </c>
      <c r="G70" s="9" t="s">
        <v>695</v>
      </c>
      <c r="L70" s="78">
        <f>$I$18*$L$18</f>
        <v>0</v>
      </c>
      <c r="M70" s="78">
        <f>$I$18*$M$18</f>
        <v>0</v>
      </c>
      <c r="N70" s="78">
        <f ca="1">$I$18*$N$18</f>
        <v>0</v>
      </c>
      <c r="O70" s="78">
        <f>$I$18*$O$18</f>
        <v>0</v>
      </c>
      <c r="P70" s="78">
        <f>$I$18*$P$18</f>
        <v>0</v>
      </c>
      <c r="Q70" s="78">
        <f>$I$18*$Q$18</f>
        <v>0</v>
      </c>
      <c r="R70" s="78">
        <f>$I$18*$R$18</f>
        <v>0</v>
      </c>
      <c r="S70" s="78">
        <f>$I$18*$S$18</f>
        <v>0</v>
      </c>
      <c r="T70" s="78">
        <f>$I$18*$T$18</f>
        <v>0</v>
      </c>
      <c r="U70" s="78">
        <f>$I$18*$U$18</f>
        <v>0</v>
      </c>
      <c r="V70" s="78">
        <f>$I$18*$V$18</f>
        <v>0</v>
      </c>
      <c r="W70" s="78">
        <f>$I$18*$W$18</f>
        <v>0</v>
      </c>
      <c r="X70" s="78">
        <f>$I$18*$X$18</f>
        <v>0</v>
      </c>
      <c r="Y70" s="78">
        <f>$I$18*$Y$18</f>
        <v>0</v>
      </c>
      <c r="Z70" s="78">
        <f>$I$18*$Z$18</f>
        <v>0</v>
      </c>
      <c r="AA70" s="78">
        <f>$I$18*$AA$18</f>
        <v>0</v>
      </c>
      <c r="AB70" s="78">
        <f ca="1">$I$18*$AB$18</f>
        <v>0</v>
      </c>
      <c r="AC70" s="78">
        <f ca="1">$I$18*$AC$18</f>
        <v>0</v>
      </c>
      <c r="AD70" s="78">
        <f>$I$18*$AD$18</f>
        <v>0</v>
      </c>
      <c r="AE70" s="78">
        <f>$I$18*$AE$18</f>
        <v>0</v>
      </c>
      <c r="AF70" s="78">
        <f ca="1">$I$18*$AF$18</f>
        <v>0</v>
      </c>
      <c r="AG70" s="78">
        <f ca="1">$I$18*$AG$18</f>
        <v>0</v>
      </c>
      <c r="AI70" s="78">
        <f>$I$18*$AI$18</f>
        <v>0</v>
      </c>
      <c r="AJ70" s="78">
        <f>$I$18*$AJ$18</f>
        <v>0</v>
      </c>
      <c r="AK70" s="78">
        <f>$I$18*$AK$18</f>
        <v>0</v>
      </c>
      <c r="AL70" s="78">
        <f>$I$18*$AL$18</f>
        <v>0</v>
      </c>
      <c r="AM70" s="78">
        <f>$I$18*$AM$18</f>
        <v>0</v>
      </c>
      <c r="AN70" s="78">
        <f>$I$18*$AN$18</f>
        <v>0</v>
      </c>
      <c r="AO70" s="78">
        <f>$I$18*$AO$18</f>
        <v>0</v>
      </c>
      <c r="AP70" s="78">
        <f>$I$18*$AP$18</f>
        <v>0</v>
      </c>
      <c r="AQ70" s="78">
        <f>$I$18*$AQ$18</f>
        <v>0</v>
      </c>
      <c r="AR70" s="78">
        <f>$I$18*$AR$18</f>
        <v>0</v>
      </c>
      <c r="AS70" s="78">
        <f>$I$18*$AS$18</f>
        <v>0</v>
      </c>
      <c r="AT70" s="78">
        <f>$I$18*$AT$18</f>
        <v>0</v>
      </c>
      <c r="AU70" s="78">
        <f>$I$18*$AU$18</f>
        <v>0</v>
      </c>
      <c r="AV70" s="78">
        <f>$I$18*$AV$18</f>
        <v>0</v>
      </c>
      <c r="AW70" s="78">
        <f>$I$18*$AW$18</f>
        <v>0</v>
      </c>
      <c r="AX70" s="78">
        <f>$I$18*$AX$18</f>
        <v>0</v>
      </c>
      <c r="AY70" s="78">
        <f>$I$18*$AY$18</f>
        <v>0</v>
      </c>
      <c r="AZ70" s="78">
        <f>$I$18*$AZ$18</f>
        <v>0</v>
      </c>
      <c r="BA70" s="78">
        <f>$I$18*$BA$18</f>
        <v>0</v>
      </c>
      <c r="BB70" s="78">
        <f>$I$18*$BB$18</f>
        <v>0</v>
      </c>
      <c r="BC70" s="78">
        <f>$I$18*$BC$18</f>
        <v>0</v>
      </c>
      <c r="BD70" s="78">
        <f>$I$18*$BD$18</f>
        <v>0</v>
      </c>
    </row>
    <row r="71" spans="1:56" ht="11.25" customHeight="1" x14ac:dyDescent="0.3">
      <c r="A71" s="9" t="s">
        <v>22</v>
      </c>
      <c r="B71" s="9" t="s">
        <v>689</v>
      </c>
      <c r="C71" s="9" t="s">
        <v>690</v>
      </c>
      <c r="D71" s="9" t="s">
        <v>691</v>
      </c>
      <c r="E71" s="9" t="s">
        <v>692</v>
      </c>
      <c r="F71" s="9" t="s">
        <v>693</v>
      </c>
      <c r="G71" s="9" t="s">
        <v>696</v>
      </c>
      <c r="L71" s="78">
        <f>$I$19*$L$19</f>
        <v>0</v>
      </c>
      <c r="M71" s="78">
        <f>$I$19*$M$19</f>
        <v>0</v>
      </c>
      <c r="N71" s="78">
        <f ca="1">$I$19*$N$19</f>
        <v>0</v>
      </c>
      <c r="O71" s="78">
        <f>$I$19*$O$19</f>
        <v>0</v>
      </c>
      <c r="P71" s="78">
        <f>$I$19*$P$19</f>
        <v>0</v>
      </c>
      <c r="Q71" s="78">
        <f>$I$19*$Q$19</f>
        <v>0</v>
      </c>
      <c r="R71" s="78">
        <f>$I$19*$R$19</f>
        <v>0</v>
      </c>
      <c r="S71" s="78">
        <f>$I$19*$S$19</f>
        <v>0</v>
      </c>
      <c r="T71" s="78">
        <f>$I$19*$T$19</f>
        <v>0</v>
      </c>
      <c r="U71" s="78">
        <f>$I$19*$U$19</f>
        <v>0</v>
      </c>
      <c r="V71" s="78">
        <f>$I$19*$V$19</f>
        <v>0</v>
      </c>
      <c r="W71" s="78">
        <f>$I$19*$W$19</f>
        <v>0</v>
      </c>
      <c r="X71" s="78">
        <f>$I$19*$X$19</f>
        <v>0</v>
      </c>
      <c r="Y71" s="78">
        <f>$I$19*$Y$19</f>
        <v>0</v>
      </c>
      <c r="Z71" s="78">
        <f>$I$19*$Z$19</f>
        <v>0</v>
      </c>
      <c r="AA71" s="78">
        <f>$I$19*$AA$19</f>
        <v>0</v>
      </c>
      <c r="AB71" s="78">
        <f ca="1">$I$19*$AB$19</f>
        <v>0</v>
      </c>
      <c r="AC71" s="78">
        <f ca="1">$I$19*$AC$19</f>
        <v>0</v>
      </c>
      <c r="AD71" s="78">
        <f>$I$19*$AD$19</f>
        <v>0</v>
      </c>
      <c r="AE71" s="78">
        <f>$I$19*$AE$19</f>
        <v>0</v>
      </c>
      <c r="AF71" s="78">
        <f ca="1">$I$19*$AF$19</f>
        <v>0</v>
      </c>
      <c r="AG71" s="78">
        <f ca="1">$I$19*$AG$19</f>
        <v>0</v>
      </c>
      <c r="AI71" s="78">
        <f>$I$19*$AI$19</f>
        <v>0</v>
      </c>
      <c r="AJ71" s="78">
        <f>$I$19*$AJ$19</f>
        <v>0</v>
      </c>
      <c r="AK71" s="78">
        <f>$I$19*$AK$19</f>
        <v>0</v>
      </c>
      <c r="AL71" s="78">
        <f>$I$19*$AL$19</f>
        <v>0</v>
      </c>
      <c r="AM71" s="78">
        <f>$I$19*$AM$19</f>
        <v>0</v>
      </c>
      <c r="AN71" s="78">
        <f>$I$19*$AN$19</f>
        <v>0</v>
      </c>
      <c r="AO71" s="78">
        <f>$I$19*$AO$19</f>
        <v>0</v>
      </c>
      <c r="AP71" s="78">
        <f>$I$19*$AP$19</f>
        <v>0</v>
      </c>
      <c r="AQ71" s="78">
        <f>$I$19*$AQ$19</f>
        <v>0</v>
      </c>
      <c r="AR71" s="78">
        <f>$I$19*$AR$19</f>
        <v>0</v>
      </c>
      <c r="AS71" s="78">
        <f>$I$19*$AS$19</f>
        <v>0</v>
      </c>
      <c r="AT71" s="78">
        <f>$I$19*$AT$19</f>
        <v>0</v>
      </c>
      <c r="AU71" s="78">
        <f>$I$19*$AU$19</f>
        <v>0</v>
      </c>
      <c r="AV71" s="78">
        <f>$I$19*$AV$19</f>
        <v>0</v>
      </c>
      <c r="AW71" s="78">
        <f>$I$19*$AW$19</f>
        <v>0</v>
      </c>
      <c r="AX71" s="78">
        <f>$I$19*$AX$19</f>
        <v>0</v>
      </c>
      <c r="AY71" s="78">
        <f>$I$19*$AY$19</f>
        <v>0</v>
      </c>
      <c r="AZ71" s="78">
        <f>$I$19*$AZ$19</f>
        <v>0</v>
      </c>
      <c r="BA71" s="78">
        <f>$I$19*$BA$19</f>
        <v>0</v>
      </c>
      <c r="BB71" s="78">
        <f>$I$19*$BB$19</f>
        <v>0</v>
      </c>
      <c r="BC71" s="78">
        <f>$I$19*$BC$19</f>
        <v>0</v>
      </c>
      <c r="BD71" s="78">
        <f>$I$19*$BD$19</f>
        <v>0</v>
      </c>
    </row>
    <row r="72" spans="1:56" ht="11.25" customHeight="1" x14ac:dyDescent="0.3">
      <c r="A72" s="9" t="s">
        <v>22</v>
      </c>
      <c r="B72" s="9" t="s">
        <v>697</v>
      </c>
      <c r="C72" s="9" t="s">
        <v>698</v>
      </c>
      <c r="D72" s="9" t="s">
        <v>699</v>
      </c>
      <c r="E72" s="9" t="s">
        <v>700</v>
      </c>
      <c r="F72" s="9" t="s">
        <v>701</v>
      </c>
      <c r="G72" s="9" t="s">
        <v>702</v>
      </c>
      <c r="L72" s="78">
        <f>$I$20*$L$20</f>
        <v>422031.35155963869</v>
      </c>
      <c r="M72" s="78">
        <f>$I$20*$M$20</f>
        <v>20598.023157459051</v>
      </c>
      <c r="N72" s="78">
        <f ca="1">$I$20*$N$20</f>
        <v>0</v>
      </c>
      <c r="O72" s="78">
        <f>$I$20*$O$20</f>
        <v>0</v>
      </c>
      <c r="P72" s="78">
        <f>$I$20*$P$20</f>
        <v>0</v>
      </c>
      <c r="Q72" s="78">
        <f>$I$20*$Q$20</f>
        <v>684697.46087496402</v>
      </c>
      <c r="R72" s="78">
        <f>$I$20*$R$20</f>
        <v>118814.89439377717</v>
      </c>
      <c r="S72" s="78">
        <f>$I$20*$S$20</f>
        <v>0</v>
      </c>
      <c r="T72" s="78">
        <f>$I$20*$T$20</f>
        <v>0</v>
      </c>
      <c r="U72" s="78">
        <f>$I$20*$U$20</f>
        <v>0</v>
      </c>
      <c r="V72" s="78">
        <f>$I$20*$V$20</f>
        <v>0</v>
      </c>
      <c r="W72" s="78">
        <f>$I$20*$W$20</f>
        <v>0</v>
      </c>
      <c r="X72" s="78">
        <f>$I$20*$X$20</f>
        <v>3344220.1486854944</v>
      </c>
      <c r="Y72" s="78">
        <f>$I$20*$Y$20</f>
        <v>0</v>
      </c>
      <c r="Z72" s="78">
        <f>$I$20*$Z$20</f>
        <v>0</v>
      </c>
      <c r="AA72" s="78">
        <f>$I$20*$AA$20</f>
        <v>4255959.3844294408</v>
      </c>
      <c r="AB72" s="78">
        <f ca="1">$I$20*$AB$20</f>
        <v>0</v>
      </c>
      <c r="AC72" s="78">
        <f ca="1">$I$20*$AC$20</f>
        <v>0</v>
      </c>
      <c r="AD72" s="78">
        <f>$I$20*$AD$20</f>
        <v>195798.07452079616</v>
      </c>
      <c r="AE72" s="78">
        <f>$I$20*$AE$20</f>
        <v>0</v>
      </c>
      <c r="AF72" s="78">
        <f ca="1">$I$20*$AF$20</f>
        <v>26740.370915929318</v>
      </c>
      <c r="AG72" s="78">
        <f ca="1">$I$20*$AG$20</f>
        <v>0</v>
      </c>
      <c r="AI72" s="78">
        <f>$I$20*$AI$20</f>
        <v>0</v>
      </c>
      <c r="AJ72" s="78">
        <f>$I$20*$AJ$20</f>
        <v>19191.805048848961</v>
      </c>
      <c r="AK72" s="78">
        <f>$I$20*$AK$20</f>
        <v>0</v>
      </c>
      <c r="AL72" s="78">
        <f>$I$20*$AL$20</f>
        <v>0</v>
      </c>
      <c r="AM72" s="78">
        <f>$I$20*$AM$20</f>
        <v>0</v>
      </c>
      <c r="AN72" s="78">
        <f>$I$20*$AN$20</f>
        <v>970990.13029671542</v>
      </c>
      <c r="AO72" s="78">
        <f>$I$20*$AO$20</f>
        <v>80882.204273423413</v>
      </c>
      <c r="AP72" s="78">
        <f>$I$20*$AP$20</f>
        <v>0</v>
      </c>
      <c r="AQ72" s="78">
        <f>$I$20*$AQ$20</f>
        <v>0</v>
      </c>
      <c r="AR72" s="78">
        <f>$I$20*$AR$20</f>
        <v>0</v>
      </c>
      <c r="AS72" s="78">
        <f>$I$20*$AS$20</f>
        <v>0</v>
      </c>
      <c r="AT72" s="78">
        <f>$I$20*$AT$20</f>
        <v>0</v>
      </c>
      <c r="AU72" s="78">
        <f>$I$20*$AU$20</f>
        <v>1776473.8474516496</v>
      </c>
      <c r="AV72" s="78">
        <f>$I$20*$AV$20</f>
        <v>0</v>
      </c>
      <c r="AW72" s="78">
        <f>$I$20*$AW$20</f>
        <v>0</v>
      </c>
      <c r="AX72" s="78">
        <f>$I$20*$AX$20</f>
        <v>3919588.5475001535</v>
      </c>
      <c r="AY72" s="78">
        <f>$I$20*$AY$20</f>
        <v>141461.00620736106</v>
      </c>
      <c r="AZ72" s="78">
        <f>$I$20*$AZ$20</f>
        <v>0</v>
      </c>
      <c r="BA72" s="78">
        <f>$I$20*$BA$20</f>
        <v>230063.1980820786</v>
      </c>
      <c r="BB72" s="78">
        <f>$I$20*$BB$20</f>
        <v>0</v>
      </c>
      <c r="BC72" s="78">
        <f>$I$20*$BC$20</f>
        <v>0</v>
      </c>
      <c r="BD72" s="78">
        <f>$I$20*$BD$20</f>
        <v>0</v>
      </c>
    </row>
    <row r="73" spans="1:56" ht="11.25" customHeight="1" x14ac:dyDescent="0.3">
      <c r="A73" s="9" t="s">
        <v>22</v>
      </c>
      <c r="B73" s="9" t="s">
        <v>697</v>
      </c>
      <c r="C73" s="9" t="s">
        <v>698</v>
      </c>
      <c r="D73" s="9" t="s">
        <v>703</v>
      </c>
      <c r="E73" s="9" t="s">
        <v>704</v>
      </c>
      <c r="F73" s="9" t="s">
        <v>705</v>
      </c>
      <c r="G73" s="9" t="s">
        <v>706</v>
      </c>
      <c r="L73" s="78">
        <f>$I$21*$L$21</f>
        <v>0</v>
      </c>
      <c r="M73" s="78">
        <f>$I$21*$M$21</f>
        <v>28.924960653132818</v>
      </c>
      <c r="N73" s="78">
        <f ca="1">$I$21*$N$21</f>
        <v>0</v>
      </c>
      <c r="O73" s="78">
        <f>$I$21*$O$21</f>
        <v>0</v>
      </c>
      <c r="P73" s="78">
        <f>$I$21*$P$21</f>
        <v>0</v>
      </c>
      <c r="Q73" s="78">
        <f>$I$21*$Q$21</f>
        <v>0</v>
      </c>
      <c r="R73" s="78">
        <f>$I$21*$R$21</f>
        <v>0</v>
      </c>
      <c r="S73" s="78">
        <f>$I$21*$S$21</f>
        <v>0</v>
      </c>
      <c r="T73" s="78">
        <f>$I$21*$T$21</f>
        <v>0</v>
      </c>
      <c r="U73" s="78">
        <f>$I$21*$U$21</f>
        <v>0</v>
      </c>
      <c r="V73" s="78">
        <f>$I$21*$V$21</f>
        <v>0</v>
      </c>
      <c r="W73" s="78">
        <f>$I$21*$W$21</f>
        <v>0</v>
      </c>
      <c r="X73" s="78">
        <f>$I$21*$X$21</f>
        <v>4696.1514450532632</v>
      </c>
      <c r="Y73" s="78">
        <f>$I$21*$Y$21</f>
        <v>0</v>
      </c>
      <c r="Z73" s="78">
        <f>$I$21*$Z$21</f>
        <v>0</v>
      </c>
      <c r="AA73" s="78">
        <f>$I$21*$AA$21</f>
        <v>5976.4695279204088</v>
      </c>
      <c r="AB73" s="78">
        <f ca="1">$I$21*$AB$21</f>
        <v>0</v>
      </c>
      <c r="AC73" s="78">
        <f ca="1">$I$21*$AC$21</f>
        <v>0</v>
      </c>
      <c r="AD73" s="78">
        <f>$I$21*$AD$21</f>
        <v>274.95122023019576</v>
      </c>
      <c r="AE73" s="78">
        <f>$I$21*$AE$21</f>
        <v>0</v>
      </c>
      <c r="AF73" s="78">
        <f ca="1">$I$21*$AF$21</f>
        <v>37.550408147460608</v>
      </c>
      <c r="AG73" s="78">
        <f ca="1">$I$21*$AG$21</f>
        <v>0</v>
      </c>
      <c r="AI73" s="78">
        <f>$I$21*$AI$21</f>
        <v>0</v>
      </c>
      <c r="AJ73" s="78">
        <f>$I$21*$AJ$21</f>
        <v>26.95026613267639</v>
      </c>
      <c r="AK73" s="78">
        <f>$I$21*$AK$21</f>
        <v>0</v>
      </c>
      <c r="AL73" s="78">
        <f>$I$21*$AL$21</f>
        <v>0</v>
      </c>
      <c r="AM73" s="78">
        <f>$I$21*$AM$21</f>
        <v>0</v>
      </c>
      <c r="AN73" s="78">
        <f>$I$21*$AN$21</f>
        <v>0</v>
      </c>
      <c r="AO73" s="78">
        <f>$I$21*$AO$21</f>
        <v>0</v>
      </c>
      <c r="AP73" s="78">
        <f>$I$21*$AP$21</f>
        <v>0</v>
      </c>
      <c r="AQ73" s="78">
        <f>$I$21*$AQ$21</f>
        <v>0</v>
      </c>
      <c r="AR73" s="78">
        <f>$I$21*$AR$21</f>
        <v>0</v>
      </c>
      <c r="AS73" s="78">
        <f>$I$21*$AS$21</f>
        <v>0</v>
      </c>
      <c r="AT73" s="78">
        <f>$I$21*$AT$21</f>
        <v>0</v>
      </c>
      <c r="AU73" s="78">
        <f>$I$21*$AU$21</f>
        <v>2494.6294965325756</v>
      </c>
      <c r="AV73" s="78">
        <f>$I$21*$AV$21</f>
        <v>0</v>
      </c>
      <c r="AW73" s="78">
        <f>$I$21*$AW$21</f>
        <v>0</v>
      </c>
      <c r="AX73" s="78">
        <f>$I$21*$AX$21</f>
        <v>5504.1177323784505</v>
      </c>
      <c r="AY73" s="78">
        <f>$I$21*$AY$21</f>
        <v>170.20078672130222</v>
      </c>
      <c r="AZ73" s="78">
        <f>$I$21*$AZ$21</f>
        <v>0</v>
      </c>
      <c r="BA73" s="78">
        <f>$I$21*$BA$21</f>
        <v>323.06833046006386</v>
      </c>
      <c r="BB73" s="78">
        <f>$I$21*$BB$21</f>
        <v>0</v>
      </c>
      <c r="BC73" s="78">
        <f>$I$21*$BC$21</f>
        <v>0</v>
      </c>
      <c r="BD73" s="78">
        <f>$I$21*$BD$21</f>
        <v>0</v>
      </c>
    </row>
    <row r="74" spans="1:56" ht="11.25" customHeight="1" x14ac:dyDescent="0.3">
      <c r="A74" s="9" t="s">
        <v>22</v>
      </c>
      <c r="B74" s="9" t="s">
        <v>697</v>
      </c>
      <c r="C74" s="9" t="s">
        <v>698</v>
      </c>
      <c r="D74" s="9" t="s">
        <v>707</v>
      </c>
      <c r="E74" s="9" t="s">
        <v>708</v>
      </c>
      <c r="F74" s="9" t="s">
        <v>709</v>
      </c>
      <c r="G74" s="9" t="s">
        <v>710</v>
      </c>
      <c r="L74" s="78">
        <f>$I$22*$L$22</f>
        <v>0</v>
      </c>
      <c r="M74" s="78">
        <f>$I$22*$M$22</f>
        <v>107.06478101979276</v>
      </c>
      <c r="N74" s="78">
        <f ca="1">$I$22*$N$22</f>
        <v>0</v>
      </c>
      <c r="O74" s="78">
        <f>$I$22*$O$22</f>
        <v>0</v>
      </c>
      <c r="P74" s="78">
        <f>$I$22*$P$22</f>
        <v>0</v>
      </c>
      <c r="Q74" s="78">
        <f>$I$22*$Q$22</f>
        <v>0</v>
      </c>
      <c r="R74" s="78">
        <f>$I$22*$R$22</f>
        <v>0</v>
      </c>
      <c r="S74" s="78">
        <f>$I$22*$S$22</f>
        <v>0</v>
      </c>
      <c r="T74" s="78">
        <f>$I$22*$T$22</f>
        <v>0</v>
      </c>
      <c r="U74" s="78">
        <f>$I$22*$U$22</f>
        <v>0</v>
      </c>
      <c r="V74" s="78">
        <f>$I$22*$V$22</f>
        <v>0</v>
      </c>
      <c r="W74" s="78">
        <f>$I$22*$W$22</f>
        <v>0</v>
      </c>
      <c r="X74" s="78">
        <f>$I$22*$X$22</f>
        <v>17382.648575736413</v>
      </c>
      <c r="Y74" s="78">
        <f>$I$22*$Y$22</f>
        <v>0</v>
      </c>
      <c r="Z74" s="78">
        <f>$I$22*$Z$22</f>
        <v>0</v>
      </c>
      <c r="AA74" s="78">
        <f>$I$22*$AA$22</f>
        <v>22121.703429489698</v>
      </c>
      <c r="AB74" s="78">
        <f ca="1">$I$22*$AB$22</f>
        <v>0</v>
      </c>
      <c r="AC74" s="78">
        <f ca="1">$I$22*$AC$22</f>
        <v>0</v>
      </c>
      <c r="AD74" s="78">
        <f>$I$22*$AD$22</f>
        <v>1017.722808272252</v>
      </c>
      <c r="AE74" s="78">
        <f>$I$22*$AE$22</f>
        <v>0</v>
      </c>
      <c r="AF74" s="78">
        <f ca="1">$I$22*$AF$22</f>
        <v>138.99158839741676</v>
      </c>
      <c r="AG74" s="78">
        <f ca="1">$I$22*$AG$22</f>
        <v>0</v>
      </c>
      <c r="AI74" s="78">
        <f>$I$22*$AI$22</f>
        <v>0</v>
      </c>
      <c r="AJ74" s="78">
        <f>$I$22*$AJ$22</f>
        <v>99.755514848302056</v>
      </c>
      <c r="AK74" s="78">
        <f>$I$22*$AK$22</f>
        <v>0</v>
      </c>
      <c r="AL74" s="78">
        <f>$I$22*$AL$22</f>
        <v>0</v>
      </c>
      <c r="AM74" s="78">
        <f>$I$22*$AM$22</f>
        <v>0</v>
      </c>
      <c r="AN74" s="78">
        <f>$I$22*$AN$22</f>
        <v>0</v>
      </c>
      <c r="AO74" s="78">
        <f>$I$22*$AO$22</f>
        <v>0</v>
      </c>
      <c r="AP74" s="78">
        <f>$I$22*$AP$22</f>
        <v>0</v>
      </c>
      <c r="AQ74" s="78">
        <f>$I$22*$AQ$22</f>
        <v>0</v>
      </c>
      <c r="AR74" s="78">
        <f>$I$22*$AR$22</f>
        <v>0</v>
      </c>
      <c r="AS74" s="78">
        <f>$I$22*$AS$22</f>
        <v>0</v>
      </c>
      <c r="AT74" s="78">
        <f>$I$22*$AT$22</f>
        <v>0</v>
      </c>
      <c r="AU74" s="78">
        <f>$I$22*$AU$22</f>
        <v>9233.7882140852107</v>
      </c>
      <c r="AV74" s="78">
        <f>$I$22*$AV$22</f>
        <v>0</v>
      </c>
      <c r="AW74" s="78">
        <f>$I$22*$AW$22</f>
        <v>0</v>
      </c>
      <c r="AX74" s="78">
        <f>$I$22*$AX$22</f>
        <v>20373.308949010767</v>
      </c>
      <c r="AY74" s="78">
        <f>$I$22*$AY$22</f>
        <v>629.99255826953095</v>
      </c>
      <c r="AZ74" s="78">
        <f>$I$22*$AZ$22</f>
        <v>0</v>
      </c>
      <c r="BA74" s="78">
        <f>$I$22*$BA$22</f>
        <v>1195.8266934199112</v>
      </c>
      <c r="BB74" s="78">
        <f>$I$22*$BB$22</f>
        <v>0</v>
      </c>
      <c r="BC74" s="78">
        <f>$I$22*$BC$22</f>
        <v>0</v>
      </c>
      <c r="BD74" s="78">
        <f>$I$22*$BD$22</f>
        <v>0</v>
      </c>
    </row>
    <row r="75" spans="1:56" ht="11.25" customHeight="1" x14ac:dyDescent="0.3">
      <c r="A75" s="9" t="s">
        <v>22</v>
      </c>
      <c r="B75" s="9" t="s">
        <v>697</v>
      </c>
      <c r="C75" s="9" t="s">
        <v>698</v>
      </c>
      <c r="D75" s="9" t="s">
        <v>711</v>
      </c>
      <c r="E75" s="9" t="s">
        <v>712</v>
      </c>
      <c r="F75" s="9" t="s">
        <v>713</v>
      </c>
      <c r="G75" s="9" t="s">
        <v>714</v>
      </c>
      <c r="L75" s="78">
        <f>$I$23*$L$23</f>
        <v>0</v>
      </c>
      <c r="M75" s="78">
        <f>$I$23*$M$23</f>
        <v>138.53605091715923</v>
      </c>
      <c r="N75" s="78">
        <f ca="1">$I$23*$N$23</f>
        <v>0</v>
      </c>
      <c r="O75" s="78">
        <f>$I$23*$O$23</f>
        <v>0</v>
      </c>
      <c r="P75" s="78">
        <f>$I$23*$P$23</f>
        <v>0</v>
      </c>
      <c r="Q75" s="78">
        <f>$I$23*$Q$23</f>
        <v>0</v>
      </c>
      <c r="R75" s="78">
        <f>$I$23*$R$23</f>
        <v>0</v>
      </c>
      <c r="S75" s="78">
        <f>$I$23*$S$23</f>
        <v>0</v>
      </c>
      <c r="T75" s="78">
        <f>$I$23*$T$23</f>
        <v>0</v>
      </c>
      <c r="U75" s="78">
        <f>$I$23*$U$23</f>
        <v>0</v>
      </c>
      <c r="V75" s="78">
        <f>$I$23*$V$23</f>
        <v>0</v>
      </c>
      <c r="W75" s="78">
        <f>$I$23*$W$23</f>
        <v>0</v>
      </c>
      <c r="X75" s="78">
        <f>$I$23*$X$23</f>
        <v>22492.209531705124</v>
      </c>
      <c r="Y75" s="78">
        <f>$I$23*$Y$23</f>
        <v>0</v>
      </c>
      <c r="Z75" s="78">
        <f>$I$23*$Z$23</f>
        <v>0</v>
      </c>
      <c r="AA75" s="78">
        <f>$I$23*$AA$23</f>
        <v>28624.290859153083</v>
      </c>
      <c r="AB75" s="78">
        <f ca="1">$I$23*$AB$23</f>
        <v>0</v>
      </c>
      <c r="AC75" s="78">
        <f ca="1">$I$23*$AC$23</f>
        <v>0</v>
      </c>
      <c r="AD75" s="78">
        <f>$I$23*$AD$23</f>
        <v>1316.8784117747769</v>
      </c>
      <c r="AE75" s="78">
        <f>$I$23*$AE$23</f>
        <v>0</v>
      </c>
      <c r="AF75" s="78">
        <f ca="1">$I$23*$AF$23</f>
        <v>179.84761733853156</v>
      </c>
      <c r="AG75" s="78">
        <f ca="1">$I$23*$AG$23</f>
        <v>0</v>
      </c>
      <c r="AI75" s="78">
        <f>$I$23*$AI$23</f>
        <v>0</v>
      </c>
      <c r="AJ75" s="78">
        <f>$I$23*$AJ$23</f>
        <v>129.07825479731713</v>
      </c>
      <c r="AK75" s="78">
        <f>$I$23*$AK$23</f>
        <v>0</v>
      </c>
      <c r="AL75" s="78">
        <f>$I$23*$AL$23</f>
        <v>0</v>
      </c>
      <c r="AM75" s="78">
        <f>$I$23*$AM$23</f>
        <v>0</v>
      </c>
      <c r="AN75" s="78">
        <f>$I$23*$AN$23</f>
        <v>0</v>
      </c>
      <c r="AO75" s="78">
        <f>$I$23*$AO$23</f>
        <v>0</v>
      </c>
      <c r="AP75" s="78">
        <f>$I$23*$AP$23</f>
        <v>0</v>
      </c>
      <c r="AQ75" s="78">
        <f>$I$23*$AQ$23</f>
        <v>0</v>
      </c>
      <c r="AR75" s="78">
        <f>$I$23*$AR$23</f>
        <v>0</v>
      </c>
      <c r="AS75" s="78">
        <f>$I$23*$AS$23</f>
        <v>0</v>
      </c>
      <c r="AT75" s="78">
        <f>$I$23*$AT$23</f>
        <v>0</v>
      </c>
      <c r="AU75" s="78">
        <f>$I$23*$AU$23</f>
        <v>11948.023822589106</v>
      </c>
      <c r="AV75" s="78">
        <f>$I$23*$AV$23</f>
        <v>0</v>
      </c>
      <c r="AW75" s="78">
        <f>$I$23*$AW$23</f>
        <v>0</v>
      </c>
      <c r="AX75" s="78">
        <f>$I$23*$AX$23</f>
        <v>26361.96272039631</v>
      </c>
      <c r="AY75" s="78">
        <f>$I$23*$AY$23</f>
        <v>815.1763847882371</v>
      </c>
      <c r="AZ75" s="78">
        <f>$I$23*$AZ$23</f>
        <v>0</v>
      </c>
      <c r="BA75" s="78">
        <f>$I$23*$BA$23</f>
        <v>1547.3352311540484</v>
      </c>
      <c r="BB75" s="78">
        <f>$I$23*$BB$23</f>
        <v>0</v>
      </c>
      <c r="BC75" s="78">
        <f>$I$23*$BC$23</f>
        <v>0</v>
      </c>
      <c r="BD75" s="78">
        <f>$I$23*$BD$23</f>
        <v>0</v>
      </c>
    </row>
    <row r="76" spans="1:56" ht="11.25" customHeight="1" x14ac:dyDescent="0.3">
      <c r="A76" s="9" t="s">
        <v>22</v>
      </c>
      <c r="B76" s="9" t="s">
        <v>697</v>
      </c>
      <c r="C76" s="9" t="s">
        <v>698</v>
      </c>
      <c r="D76" s="9" t="s">
        <v>715</v>
      </c>
      <c r="E76" s="9" t="s">
        <v>716</v>
      </c>
      <c r="F76" s="9" t="s">
        <v>717</v>
      </c>
      <c r="G76" s="9" t="s">
        <v>718</v>
      </c>
      <c r="L76" s="78">
        <f>$I$24*$L$24</f>
        <v>0</v>
      </c>
      <c r="M76" s="78">
        <f>$I$24*$M$24</f>
        <v>54.462923571706774</v>
      </c>
      <c r="N76" s="78">
        <f ca="1">$I$24*$N$24</f>
        <v>0</v>
      </c>
      <c r="O76" s="78">
        <f>$I$24*$O$24</f>
        <v>0</v>
      </c>
      <c r="P76" s="78">
        <f>$I$24*$P$24</f>
        <v>0</v>
      </c>
      <c r="Q76" s="78">
        <f>$I$24*$Q$24</f>
        <v>0</v>
      </c>
      <c r="R76" s="78">
        <f>$I$24*$R$24</f>
        <v>0</v>
      </c>
      <c r="S76" s="78">
        <f>$I$24*$S$24</f>
        <v>0</v>
      </c>
      <c r="T76" s="78">
        <f>$I$24*$T$24</f>
        <v>0</v>
      </c>
      <c r="U76" s="78">
        <f>$I$24*$U$24</f>
        <v>0</v>
      </c>
      <c r="V76" s="78">
        <f>$I$24*$V$24</f>
        <v>0</v>
      </c>
      <c r="W76" s="78">
        <f>$I$24*$W$24</f>
        <v>0</v>
      </c>
      <c r="X76" s="78">
        <f>$I$24*$X$24</f>
        <v>8842.4022525124692</v>
      </c>
      <c r="Y76" s="78">
        <f>$I$24*$Y$24</f>
        <v>0</v>
      </c>
      <c r="Z76" s="78">
        <f>$I$24*$Z$24</f>
        <v>0</v>
      </c>
      <c r="AA76" s="78">
        <f>$I$24*$AA$24</f>
        <v>11253.118268028125</v>
      </c>
      <c r="AB76" s="78">
        <f ca="1">$I$24*$AB$24</f>
        <v>0</v>
      </c>
      <c r="AC76" s="78">
        <f ca="1">$I$24*$AC$24</f>
        <v>0</v>
      </c>
      <c r="AD76" s="78">
        <f>$I$24*$AD$24</f>
        <v>517.70674722500576</v>
      </c>
      <c r="AE76" s="78">
        <f>$I$24*$AE$24</f>
        <v>0</v>
      </c>
      <c r="AF76" s="78">
        <f ca="1">$I$24*$AF$24</f>
        <v>70.70381299896566</v>
      </c>
      <c r="AG76" s="78">
        <f ca="1">$I$24*$AG$24</f>
        <v>0</v>
      </c>
      <c r="AI76" s="78">
        <f>$I$24*$AI$24</f>
        <v>0</v>
      </c>
      <c r="AJ76" s="78">
        <f>$I$24*$AJ$24</f>
        <v>50.744763397357829</v>
      </c>
      <c r="AK76" s="78">
        <f>$I$24*$AK$24</f>
        <v>0</v>
      </c>
      <c r="AL76" s="78">
        <f>$I$24*$AL$24</f>
        <v>0</v>
      </c>
      <c r="AM76" s="78">
        <f>$I$24*$AM$24</f>
        <v>0</v>
      </c>
      <c r="AN76" s="78">
        <f>$I$24*$AN$24</f>
        <v>0</v>
      </c>
      <c r="AO76" s="78">
        <f>$I$24*$AO$24</f>
        <v>0</v>
      </c>
      <c r="AP76" s="78">
        <f>$I$24*$AP$24</f>
        <v>0</v>
      </c>
      <c r="AQ76" s="78">
        <f>$I$24*$AQ$24</f>
        <v>0</v>
      </c>
      <c r="AR76" s="78">
        <f>$I$24*$AR$24</f>
        <v>0</v>
      </c>
      <c r="AS76" s="78">
        <f>$I$24*$AS$24</f>
        <v>0</v>
      </c>
      <c r="AT76" s="78">
        <f>$I$24*$AT$24</f>
        <v>0</v>
      </c>
      <c r="AU76" s="78">
        <f>$I$24*$AU$24</f>
        <v>4697.1478108013871</v>
      </c>
      <c r="AV76" s="78">
        <f>$I$24*$AV$24</f>
        <v>0</v>
      </c>
      <c r="AW76" s="78">
        <f>$I$24*$AW$24</f>
        <v>0</v>
      </c>
      <c r="AX76" s="78">
        <f>$I$24*$AX$24</f>
        <v>10363.725191644638</v>
      </c>
      <c r="AY76" s="78">
        <f>$I$24*$AY$24</f>
        <v>320.47173893191405</v>
      </c>
      <c r="AZ76" s="78">
        <f>$I$24*$AZ$24</f>
        <v>0</v>
      </c>
      <c r="BA76" s="78">
        <f>$I$24*$BA$24</f>
        <v>608.30664564377344</v>
      </c>
      <c r="BB76" s="78">
        <f>$I$24*$BB$24</f>
        <v>0</v>
      </c>
      <c r="BC76" s="78">
        <f>$I$24*$BC$24</f>
        <v>0</v>
      </c>
      <c r="BD76" s="78">
        <f>$I$24*$BD$24</f>
        <v>0</v>
      </c>
    </row>
    <row r="77" spans="1:56" ht="11.25" customHeight="1" x14ac:dyDescent="0.3">
      <c r="A77" s="9" t="s">
        <v>22</v>
      </c>
      <c r="B77" s="9" t="s">
        <v>719</v>
      </c>
      <c r="C77" s="9" t="s">
        <v>720</v>
      </c>
      <c r="D77" s="9" t="s">
        <v>721</v>
      </c>
      <c r="E77" s="9" t="s">
        <v>722</v>
      </c>
      <c r="F77" s="9" t="s">
        <v>723</v>
      </c>
      <c r="G77" s="9" t="s">
        <v>724</v>
      </c>
      <c r="L77" s="78">
        <f>$I$25*$L$25</f>
        <v>0</v>
      </c>
      <c r="M77" s="78">
        <f>$I$25*$M$25</f>
        <v>0</v>
      </c>
      <c r="N77" s="78">
        <f ca="1">$I$25*$N$25</f>
        <v>0</v>
      </c>
      <c r="O77" s="78">
        <f>$I$25*$O$25</f>
        <v>0</v>
      </c>
      <c r="P77" s="78">
        <f>$I$25*$P$25</f>
        <v>0</v>
      </c>
      <c r="Q77" s="78">
        <f>$I$25*$Q$25</f>
        <v>0</v>
      </c>
      <c r="R77" s="78">
        <f>$I$25*$R$25</f>
        <v>0</v>
      </c>
      <c r="S77" s="78">
        <f>$I$25*$S$25</f>
        <v>0</v>
      </c>
      <c r="T77" s="78">
        <f>$I$25*$T$25</f>
        <v>0</v>
      </c>
      <c r="U77" s="78">
        <f>$I$25*$U$25</f>
        <v>0</v>
      </c>
      <c r="V77" s="78">
        <f>$I$25*$V$25</f>
        <v>0</v>
      </c>
      <c r="W77" s="78">
        <f>$I$25*$W$25</f>
        <v>0</v>
      </c>
      <c r="X77" s="78">
        <f>$I$25*$X$25</f>
        <v>0</v>
      </c>
      <c r="Y77" s="78">
        <f>$I$25*$Y$25</f>
        <v>0</v>
      </c>
      <c r="Z77" s="78">
        <f>$I$25*$Z$25</f>
        <v>0</v>
      </c>
      <c r="AA77" s="78">
        <f>$I$25*$AA$25</f>
        <v>0</v>
      </c>
      <c r="AB77" s="78">
        <f ca="1">$I$25*$AB$25</f>
        <v>0</v>
      </c>
      <c r="AC77" s="78">
        <f ca="1">$I$25*$AC$25</f>
        <v>0</v>
      </c>
      <c r="AD77" s="78">
        <f>$I$25*$AD$25</f>
        <v>0</v>
      </c>
      <c r="AE77" s="78">
        <f>$I$25*$AE$25</f>
        <v>0</v>
      </c>
      <c r="AF77" s="78">
        <f ca="1">$I$25*$AF$25</f>
        <v>0</v>
      </c>
      <c r="AG77" s="78">
        <f ca="1">$I$25*$AG$25</f>
        <v>0</v>
      </c>
      <c r="AI77" s="78">
        <f>$I$25*$AI$25</f>
        <v>0</v>
      </c>
      <c r="AJ77" s="78">
        <f>$I$25*$AJ$25</f>
        <v>0</v>
      </c>
      <c r="AK77" s="78">
        <f>$I$25*$AK$25</f>
        <v>0</v>
      </c>
      <c r="AL77" s="78">
        <f>$I$25*$AL$25</f>
        <v>0</v>
      </c>
      <c r="AM77" s="78">
        <f>$I$25*$AM$25</f>
        <v>0</v>
      </c>
      <c r="AN77" s="78">
        <f>$I$25*$AN$25</f>
        <v>0</v>
      </c>
      <c r="AO77" s="78">
        <f>$I$25*$AO$25</f>
        <v>0</v>
      </c>
      <c r="AP77" s="78">
        <f>$I$25*$AP$25</f>
        <v>0</v>
      </c>
      <c r="AQ77" s="78">
        <f>$I$25*$AQ$25</f>
        <v>0</v>
      </c>
      <c r="AR77" s="78">
        <f>$I$25*$AR$25</f>
        <v>0</v>
      </c>
      <c r="AS77" s="78">
        <f>$I$25*$AS$25</f>
        <v>0</v>
      </c>
      <c r="AT77" s="78">
        <f>$I$25*$AT$25</f>
        <v>0</v>
      </c>
      <c r="AU77" s="78">
        <f>$I$25*$AU$25</f>
        <v>0</v>
      </c>
      <c r="AV77" s="78">
        <f>$I$25*$AV$25</f>
        <v>0</v>
      </c>
      <c r="AW77" s="78">
        <f>$I$25*$AW$25</f>
        <v>0</v>
      </c>
      <c r="AX77" s="78">
        <f>$I$25*$AX$25</f>
        <v>0</v>
      </c>
      <c r="AY77" s="78">
        <f>$I$25*$AY$25</f>
        <v>0</v>
      </c>
      <c r="AZ77" s="78">
        <f>$I$25*$AZ$25</f>
        <v>0</v>
      </c>
      <c r="BA77" s="78">
        <f>$I$25*$BA$25</f>
        <v>0</v>
      </c>
      <c r="BB77" s="78">
        <f>$I$25*$BB$25</f>
        <v>0</v>
      </c>
      <c r="BC77" s="78">
        <f>$I$25*$BC$25</f>
        <v>0</v>
      </c>
      <c r="BD77" s="78">
        <f>$I$25*$BD$25</f>
        <v>0</v>
      </c>
    </row>
    <row r="78" spans="1:56" ht="11.25" customHeight="1" x14ac:dyDescent="0.3">
      <c r="A78" s="9" t="s">
        <v>22</v>
      </c>
      <c r="B78" s="9" t="s">
        <v>719</v>
      </c>
      <c r="C78" s="9" t="s">
        <v>720</v>
      </c>
      <c r="D78" s="9" t="s">
        <v>725</v>
      </c>
      <c r="E78" s="9" t="s">
        <v>726</v>
      </c>
      <c r="F78" s="9" t="s">
        <v>727</v>
      </c>
      <c r="G78" s="9" t="s">
        <v>728</v>
      </c>
      <c r="L78" s="78">
        <f>$I$26*$L$26</f>
        <v>0</v>
      </c>
      <c r="M78" s="78">
        <f>$I$26*$M$26</f>
        <v>0</v>
      </c>
      <c r="N78" s="78">
        <f ca="1">$I$26*$N$26</f>
        <v>0</v>
      </c>
      <c r="O78" s="78">
        <f>$I$26*$O$26</f>
        <v>0</v>
      </c>
      <c r="P78" s="78">
        <f>$I$26*$P$26</f>
        <v>0</v>
      </c>
      <c r="Q78" s="78">
        <f>$I$26*$Q$26</f>
        <v>0</v>
      </c>
      <c r="R78" s="78">
        <f>$I$26*$R$26</f>
        <v>0</v>
      </c>
      <c r="S78" s="78">
        <f>$I$26*$S$26</f>
        <v>0</v>
      </c>
      <c r="T78" s="78">
        <f>$I$26*$T$26</f>
        <v>0</v>
      </c>
      <c r="U78" s="78">
        <f>$I$26*$U$26</f>
        <v>0</v>
      </c>
      <c r="V78" s="78">
        <f>$I$26*$V$26</f>
        <v>0</v>
      </c>
      <c r="W78" s="78">
        <f>$I$26*$W$26</f>
        <v>0</v>
      </c>
      <c r="X78" s="78">
        <f>$I$26*$X$26</f>
        <v>0</v>
      </c>
      <c r="Y78" s="78">
        <f>$I$26*$Y$26</f>
        <v>0</v>
      </c>
      <c r="Z78" s="78">
        <f>$I$26*$Z$26</f>
        <v>0</v>
      </c>
      <c r="AA78" s="78">
        <f>$I$26*$AA$26</f>
        <v>0</v>
      </c>
      <c r="AB78" s="78">
        <f ca="1">$I$26*$AB$26</f>
        <v>0</v>
      </c>
      <c r="AC78" s="78">
        <f ca="1">$I$26*$AC$26</f>
        <v>0</v>
      </c>
      <c r="AD78" s="78">
        <f>$I$26*$AD$26</f>
        <v>0</v>
      </c>
      <c r="AE78" s="78">
        <f>$I$26*$AE$26</f>
        <v>0</v>
      </c>
      <c r="AF78" s="78">
        <f ca="1">$I$26*$AF$26</f>
        <v>0</v>
      </c>
      <c r="AG78" s="78">
        <f ca="1">$I$26*$AG$26</f>
        <v>0</v>
      </c>
      <c r="AI78" s="78">
        <f>$I$26*$AI$26</f>
        <v>0</v>
      </c>
      <c r="AJ78" s="78">
        <f>$I$26*$AJ$26</f>
        <v>0</v>
      </c>
      <c r="AK78" s="78">
        <f>$I$26*$AK$26</f>
        <v>0</v>
      </c>
      <c r="AL78" s="78">
        <f>$I$26*$AL$26</f>
        <v>0</v>
      </c>
      <c r="AM78" s="78">
        <f>$I$26*$AM$26</f>
        <v>0</v>
      </c>
      <c r="AN78" s="78">
        <f>$I$26*$AN$26</f>
        <v>0</v>
      </c>
      <c r="AO78" s="78">
        <f>$I$26*$AO$26</f>
        <v>0</v>
      </c>
      <c r="AP78" s="78">
        <f>$I$26*$AP$26</f>
        <v>0</v>
      </c>
      <c r="AQ78" s="78">
        <f>$I$26*$AQ$26</f>
        <v>0</v>
      </c>
      <c r="AR78" s="78">
        <f>$I$26*$AR$26</f>
        <v>0</v>
      </c>
      <c r="AS78" s="78">
        <f>$I$26*$AS$26</f>
        <v>0</v>
      </c>
      <c r="AT78" s="78">
        <f>$I$26*$AT$26</f>
        <v>0</v>
      </c>
      <c r="AU78" s="78">
        <f>$I$26*$AU$26</f>
        <v>0</v>
      </c>
      <c r="AV78" s="78">
        <f>$I$26*$AV$26</f>
        <v>0</v>
      </c>
      <c r="AW78" s="78">
        <f>$I$26*$AW$26</f>
        <v>0</v>
      </c>
      <c r="AX78" s="78">
        <f>$I$26*$AX$26</f>
        <v>0</v>
      </c>
      <c r="AY78" s="78">
        <f>$I$26*$AY$26</f>
        <v>0</v>
      </c>
      <c r="AZ78" s="78">
        <f>$I$26*$AZ$26</f>
        <v>0</v>
      </c>
      <c r="BA78" s="78">
        <f>$I$26*$BA$26</f>
        <v>0</v>
      </c>
      <c r="BB78" s="78">
        <f>$I$26*$BB$26</f>
        <v>0</v>
      </c>
      <c r="BC78" s="78">
        <f>$I$26*$BC$26</f>
        <v>0</v>
      </c>
      <c r="BD78" s="78">
        <f>$I$26*$BD$26</f>
        <v>0</v>
      </c>
    </row>
    <row r="79" spans="1:56" ht="11.25" customHeight="1" x14ac:dyDescent="0.3">
      <c r="A79" s="9" t="s">
        <v>22</v>
      </c>
      <c r="B79" s="9" t="s">
        <v>719</v>
      </c>
      <c r="C79" s="9" t="s">
        <v>720</v>
      </c>
      <c r="D79" s="9" t="s">
        <v>729</v>
      </c>
      <c r="E79" s="9" t="s">
        <v>730</v>
      </c>
      <c r="F79" s="9" t="s">
        <v>731</v>
      </c>
      <c r="G79" s="9" t="s">
        <v>732</v>
      </c>
      <c r="L79" s="78">
        <f>$I$27*$L$27</f>
        <v>0</v>
      </c>
      <c r="M79" s="78">
        <f>$I$27*$M$27</f>
        <v>0</v>
      </c>
      <c r="N79" s="78">
        <f ca="1">$I$27*$N$27</f>
        <v>0</v>
      </c>
      <c r="O79" s="78">
        <f>$I$27*$O$27</f>
        <v>0</v>
      </c>
      <c r="P79" s="78">
        <f>$I$27*$P$27</f>
        <v>0</v>
      </c>
      <c r="Q79" s="78">
        <f>$I$27*$Q$27</f>
        <v>0</v>
      </c>
      <c r="R79" s="78">
        <f>$I$27*$R$27</f>
        <v>0</v>
      </c>
      <c r="S79" s="78">
        <f>$I$27*$S$27</f>
        <v>0</v>
      </c>
      <c r="T79" s="78">
        <f>$I$27*$T$27</f>
        <v>0</v>
      </c>
      <c r="U79" s="78">
        <f>$I$27*$U$27</f>
        <v>0</v>
      </c>
      <c r="V79" s="78">
        <f>$I$27*$V$27</f>
        <v>0</v>
      </c>
      <c r="W79" s="78">
        <f>$I$27*$W$27</f>
        <v>0</v>
      </c>
      <c r="X79" s="78">
        <f>$I$27*$X$27</f>
        <v>0</v>
      </c>
      <c r="Y79" s="78">
        <f>$I$27*$Y$27</f>
        <v>0</v>
      </c>
      <c r="Z79" s="78">
        <f>$I$27*$Z$27</f>
        <v>0</v>
      </c>
      <c r="AA79" s="78">
        <f>$I$27*$AA$27</f>
        <v>0</v>
      </c>
      <c r="AB79" s="78">
        <f ca="1">$I$27*$AB$27</f>
        <v>0</v>
      </c>
      <c r="AC79" s="78">
        <f ca="1">$I$27*$AC$27</f>
        <v>0</v>
      </c>
      <c r="AD79" s="78">
        <f>$I$27*$AD$27</f>
        <v>0</v>
      </c>
      <c r="AE79" s="78">
        <f>$I$27*$AE$27</f>
        <v>0</v>
      </c>
      <c r="AF79" s="78">
        <f ca="1">$I$27*$AF$27</f>
        <v>0</v>
      </c>
      <c r="AG79" s="78">
        <f ca="1">$I$27*$AG$27</f>
        <v>0</v>
      </c>
      <c r="AI79" s="78">
        <f>$I$27*$AI$27</f>
        <v>0</v>
      </c>
      <c r="AJ79" s="78">
        <f>$I$27*$AJ$27</f>
        <v>0</v>
      </c>
      <c r="AK79" s="78">
        <f>$I$27*$AK$27</f>
        <v>0</v>
      </c>
      <c r="AL79" s="78">
        <f>$I$27*$AL$27</f>
        <v>0</v>
      </c>
      <c r="AM79" s="78">
        <f>$I$27*$AM$27</f>
        <v>0</v>
      </c>
      <c r="AN79" s="78">
        <f>$I$27*$AN$27</f>
        <v>0</v>
      </c>
      <c r="AO79" s="78">
        <f>$I$27*$AO$27</f>
        <v>0</v>
      </c>
      <c r="AP79" s="78">
        <f>$I$27*$AP$27</f>
        <v>0</v>
      </c>
      <c r="AQ79" s="78">
        <f>$I$27*$AQ$27</f>
        <v>0</v>
      </c>
      <c r="AR79" s="78">
        <f>$I$27*$AR$27</f>
        <v>0</v>
      </c>
      <c r="AS79" s="78">
        <f>$I$27*$AS$27</f>
        <v>0</v>
      </c>
      <c r="AT79" s="78">
        <f>$I$27*$AT$27</f>
        <v>0</v>
      </c>
      <c r="AU79" s="78">
        <f>$I$27*$AU$27</f>
        <v>0</v>
      </c>
      <c r="AV79" s="78">
        <f>$I$27*$AV$27</f>
        <v>0</v>
      </c>
      <c r="AW79" s="78">
        <f>$I$27*$AW$27</f>
        <v>0</v>
      </c>
      <c r="AX79" s="78">
        <f>$I$27*$AX$27</f>
        <v>0</v>
      </c>
      <c r="AY79" s="78">
        <f>$I$27*$AY$27</f>
        <v>0</v>
      </c>
      <c r="AZ79" s="78">
        <f>$I$27*$AZ$27</f>
        <v>0</v>
      </c>
      <c r="BA79" s="78">
        <f>$I$27*$BA$27</f>
        <v>0</v>
      </c>
      <c r="BB79" s="78">
        <f>$I$27*$BB$27</f>
        <v>0</v>
      </c>
      <c r="BC79" s="78">
        <f>$I$27*$BC$27</f>
        <v>0</v>
      </c>
      <c r="BD79" s="78">
        <f>$I$27*$BD$27</f>
        <v>0</v>
      </c>
    </row>
    <row r="80" spans="1:56" ht="11.25" customHeight="1" x14ac:dyDescent="0.3">
      <c r="A80" s="9" t="s">
        <v>22</v>
      </c>
      <c r="B80" s="9" t="s">
        <v>719</v>
      </c>
      <c r="C80" s="9" t="s">
        <v>720</v>
      </c>
      <c r="D80" s="9" t="s">
        <v>733</v>
      </c>
      <c r="E80" s="9" t="s">
        <v>734</v>
      </c>
      <c r="F80" s="9" t="s">
        <v>735</v>
      </c>
      <c r="G80" s="9" t="s">
        <v>736</v>
      </c>
      <c r="L80" s="78">
        <f>$I$28*$L$28</f>
        <v>0</v>
      </c>
      <c r="M80" s="78">
        <f>$I$28*$M$28</f>
        <v>0</v>
      </c>
      <c r="N80" s="78">
        <f ca="1">$I$28*$N$28</f>
        <v>0</v>
      </c>
      <c r="O80" s="78">
        <f>$I$28*$O$28</f>
        <v>0</v>
      </c>
      <c r="P80" s="78">
        <f>$I$28*$P$28</f>
        <v>0</v>
      </c>
      <c r="Q80" s="78">
        <f>$I$28*$Q$28</f>
        <v>0</v>
      </c>
      <c r="R80" s="78">
        <f>$I$28*$R$28</f>
        <v>0</v>
      </c>
      <c r="S80" s="78">
        <f>$I$28*$S$28</f>
        <v>0</v>
      </c>
      <c r="T80" s="78">
        <f>$I$28*$T$28</f>
        <v>0</v>
      </c>
      <c r="U80" s="78">
        <f>$I$28*$U$28</f>
        <v>0</v>
      </c>
      <c r="V80" s="78">
        <f>$I$28*$V$28</f>
        <v>0</v>
      </c>
      <c r="W80" s="78">
        <f>$I$28*$W$28</f>
        <v>0</v>
      </c>
      <c r="X80" s="78">
        <f>$I$28*$X$28</f>
        <v>0</v>
      </c>
      <c r="Y80" s="78">
        <f>$I$28*$Y$28</f>
        <v>0</v>
      </c>
      <c r="Z80" s="78">
        <f>$I$28*$Z$28</f>
        <v>0</v>
      </c>
      <c r="AA80" s="78">
        <f>$I$28*$AA$28</f>
        <v>0</v>
      </c>
      <c r="AB80" s="78">
        <f ca="1">$I$28*$AB$28</f>
        <v>0</v>
      </c>
      <c r="AC80" s="78">
        <f ca="1">$I$28*$AC$28</f>
        <v>0</v>
      </c>
      <c r="AD80" s="78">
        <f>$I$28*$AD$28</f>
        <v>0</v>
      </c>
      <c r="AE80" s="78">
        <f>$I$28*$AE$28</f>
        <v>0</v>
      </c>
      <c r="AF80" s="78">
        <f ca="1">$I$28*$AF$28</f>
        <v>0</v>
      </c>
      <c r="AG80" s="78">
        <f ca="1">$I$28*$AG$28</f>
        <v>0</v>
      </c>
      <c r="AI80" s="78">
        <f>$I$28*$AI$28</f>
        <v>0</v>
      </c>
      <c r="AJ80" s="78">
        <f>$I$28*$AJ$28</f>
        <v>0</v>
      </c>
      <c r="AK80" s="78">
        <f>$I$28*$AK$28</f>
        <v>0</v>
      </c>
      <c r="AL80" s="78">
        <f>$I$28*$AL$28</f>
        <v>0</v>
      </c>
      <c r="AM80" s="78">
        <f>$I$28*$AM$28</f>
        <v>0</v>
      </c>
      <c r="AN80" s="78">
        <f>$I$28*$AN$28</f>
        <v>0</v>
      </c>
      <c r="AO80" s="78">
        <f>$I$28*$AO$28</f>
        <v>0</v>
      </c>
      <c r="AP80" s="78">
        <f>$I$28*$AP$28</f>
        <v>0</v>
      </c>
      <c r="AQ80" s="78">
        <f>$I$28*$AQ$28</f>
        <v>0</v>
      </c>
      <c r="AR80" s="78">
        <f>$I$28*$AR$28</f>
        <v>0</v>
      </c>
      <c r="AS80" s="78">
        <f>$I$28*$AS$28</f>
        <v>0</v>
      </c>
      <c r="AT80" s="78">
        <f>$I$28*$AT$28</f>
        <v>0</v>
      </c>
      <c r="AU80" s="78">
        <f>$I$28*$AU$28</f>
        <v>0</v>
      </c>
      <c r="AV80" s="78">
        <f>$I$28*$AV$28</f>
        <v>0</v>
      </c>
      <c r="AW80" s="78">
        <f>$I$28*$AW$28</f>
        <v>0</v>
      </c>
      <c r="AX80" s="78">
        <f>$I$28*$AX$28</f>
        <v>0</v>
      </c>
      <c r="AY80" s="78">
        <f>$I$28*$AY$28</f>
        <v>0</v>
      </c>
      <c r="AZ80" s="78">
        <f>$I$28*$AZ$28</f>
        <v>0</v>
      </c>
      <c r="BA80" s="78">
        <f>$I$28*$BA$28</f>
        <v>0</v>
      </c>
      <c r="BB80" s="78">
        <f>$I$28*$BB$28</f>
        <v>0</v>
      </c>
      <c r="BC80" s="78">
        <f>$I$28*$BC$28</f>
        <v>0</v>
      </c>
      <c r="BD80" s="78">
        <f>$I$28*$BD$28</f>
        <v>0</v>
      </c>
    </row>
    <row r="81" spans="1:56" ht="11.25" customHeight="1" x14ac:dyDescent="0.3">
      <c r="A81" s="9" t="s">
        <v>22</v>
      </c>
      <c r="B81" s="9" t="s">
        <v>719</v>
      </c>
      <c r="C81" s="9" t="s">
        <v>720</v>
      </c>
      <c r="D81" s="9" t="s">
        <v>737</v>
      </c>
      <c r="E81" s="9" t="s">
        <v>738</v>
      </c>
      <c r="F81" s="9" t="s">
        <v>739</v>
      </c>
      <c r="G81" s="9" t="s">
        <v>740</v>
      </c>
      <c r="L81" s="78">
        <f>$I$29*$L$29</f>
        <v>0</v>
      </c>
      <c r="M81" s="78">
        <f>$I$29*$M$29</f>
        <v>0</v>
      </c>
      <c r="N81" s="78">
        <f ca="1">$I$29*$N$29</f>
        <v>0</v>
      </c>
      <c r="O81" s="78">
        <f>$I$29*$O$29</f>
        <v>0</v>
      </c>
      <c r="P81" s="78">
        <f>$I$29*$P$29</f>
        <v>0</v>
      </c>
      <c r="Q81" s="78">
        <f>$I$29*$Q$29</f>
        <v>0</v>
      </c>
      <c r="R81" s="78">
        <f>$I$29*$R$29</f>
        <v>0</v>
      </c>
      <c r="S81" s="78">
        <f>$I$29*$S$29</f>
        <v>0</v>
      </c>
      <c r="T81" s="78">
        <f>$I$29*$T$29</f>
        <v>0</v>
      </c>
      <c r="U81" s="78">
        <f>$I$29*$U$29</f>
        <v>0</v>
      </c>
      <c r="V81" s="78">
        <f>$I$29*$V$29</f>
        <v>0</v>
      </c>
      <c r="W81" s="78">
        <f>$I$29*$W$29</f>
        <v>0</v>
      </c>
      <c r="X81" s="78">
        <f>$I$29*$X$29</f>
        <v>0</v>
      </c>
      <c r="Y81" s="78">
        <f>$I$29*$Y$29</f>
        <v>0</v>
      </c>
      <c r="Z81" s="78">
        <f>$I$29*$Z$29</f>
        <v>0</v>
      </c>
      <c r="AA81" s="78">
        <f>$I$29*$AA$29</f>
        <v>0</v>
      </c>
      <c r="AB81" s="78">
        <f ca="1">$I$29*$AB$29</f>
        <v>0</v>
      </c>
      <c r="AC81" s="78">
        <f ca="1">$I$29*$AC$29</f>
        <v>0</v>
      </c>
      <c r="AD81" s="78">
        <f>$I$29*$AD$29</f>
        <v>0</v>
      </c>
      <c r="AE81" s="78">
        <f>$I$29*$AE$29</f>
        <v>0</v>
      </c>
      <c r="AF81" s="78">
        <f ca="1">$I$29*$AF$29</f>
        <v>0</v>
      </c>
      <c r="AG81" s="78">
        <f ca="1">$I$29*$AG$29</f>
        <v>0</v>
      </c>
      <c r="AI81" s="78">
        <f>$I$29*$AI$29</f>
        <v>0</v>
      </c>
      <c r="AJ81" s="78">
        <f>$I$29*$AJ$29</f>
        <v>0</v>
      </c>
      <c r="AK81" s="78">
        <f>$I$29*$AK$29</f>
        <v>0</v>
      </c>
      <c r="AL81" s="78">
        <f>$I$29*$AL$29</f>
        <v>0</v>
      </c>
      <c r="AM81" s="78">
        <f>$I$29*$AM$29</f>
        <v>0</v>
      </c>
      <c r="AN81" s="78">
        <f>$I$29*$AN$29</f>
        <v>0</v>
      </c>
      <c r="AO81" s="78">
        <f>$I$29*$AO$29</f>
        <v>0</v>
      </c>
      <c r="AP81" s="78">
        <f>$I$29*$AP$29</f>
        <v>0</v>
      </c>
      <c r="AQ81" s="78">
        <f>$I$29*$AQ$29</f>
        <v>0</v>
      </c>
      <c r="AR81" s="78">
        <f>$I$29*$AR$29</f>
        <v>0</v>
      </c>
      <c r="AS81" s="78">
        <f>$I$29*$AS$29</f>
        <v>0</v>
      </c>
      <c r="AT81" s="78">
        <f>$I$29*$AT$29</f>
        <v>0</v>
      </c>
      <c r="AU81" s="78">
        <f>$I$29*$AU$29</f>
        <v>0</v>
      </c>
      <c r="AV81" s="78">
        <f>$I$29*$AV$29</f>
        <v>0</v>
      </c>
      <c r="AW81" s="78">
        <f>$I$29*$AW$29</f>
        <v>0</v>
      </c>
      <c r="AX81" s="78">
        <f>$I$29*$AX$29</f>
        <v>0</v>
      </c>
      <c r="AY81" s="78">
        <f>$I$29*$AY$29</f>
        <v>0</v>
      </c>
      <c r="AZ81" s="78">
        <f>$I$29*$AZ$29</f>
        <v>0</v>
      </c>
      <c r="BA81" s="78">
        <f>$I$29*$BA$29</f>
        <v>0</v>
      </c>
      <c r="BB81" s="78">
        <f>$I$29*$BB$29</f>
        <v>0</v>
      </c>
      <c r="BC81" s="78">
        <f>$I$29*$BC$29</f>
        <v>0</v>
      </c>
      <c r="BD81" s="78">
        <f>$I$29*$BD$29</f>
        <v>0</v>
      </c>
    </row>
    <row r="82" spans="1:56" ht="11.25" customHeight="1" x14ac:dyDescent="0.3">
      <c r="A82" s="9" t="s">
        <v>40</v>
      </c>
      <c r="B82" s="9" t="s">
        <v>741</v>
      </c>
      <c r="C82" s="9" t="s">
        <v>742</v>
      </c>
      <c r="D82" s="9" t="s">
        <v>743</v>
      </c>
      <c r="E82" s="9" t="s">
        <v>744</v>
      </c>
      <c r="F82" s="9" t="s">
        <v>745</v>
      </c>
      <c r="G82" s="9" t="s">
        <v>746</v>
      </c>
      <c r="L82" s="78">
        <f>$I$30*$L$30</f>
        <v>0</v>
      </c>
      <c r="M82" s="78">
        <f>$I$30*$M$30</f>
        <v>0</v>
      </c>
      <c r="N82" s="78">
        <f ca="1">$I$30*$N$30</f>
        <v>0</v>
      </c>
      <c r="O82" s="78">
        <f>$I$30*$O$30</f>
        <v>0</v>
      </c>
      <c r="P82" s="78">
        <f>$I$30*$P$30</f>
        <v>0</v>
      </c>
      <c r="Q82" s="78">
        <f>$I$30*$Q$30</f>
        <v>0</v>
      </c>
      <c r="R82" s="78">
        <f>$I$30*$R$30</f>
        <v>0</v>
      </c>
      <c r="S82" s="78">
        <f>$I$30*$S$30</f>
        <v>0</v>
      </c>
      <c r="T82" s="78">
        <f>$I$30*$T$30</f>
        <v>0</v>
      </c>
      <c r="U82" s="78">
        <f>$I$30*$U$30</f>
        <v>0</v>
      </c>
      <c r="V82" s="78">
        <f>$I$30*$V$30</f>
        <v>0</v>
      </c>
      <c r="W82" s="78">
        <f>$I$30*$W$30</f>
        <v>0</v>
      </c>
      <c r="X82" s="78">
        <f>$I$30*$X$30</f>
        <v>0</v>
      </c>
      <c r="Y82" s="78">
        <f>$I$30*$Y$30</f>
        <v>0</v>
      </c>
      <c r="Z82" s="78">
        <f>$I$30*$Z$30</f>
        <v>0</v>
      </c>
      <c r="AA82" s="78">
        <f>$I$30*$AA$30</f>
        <v>0</v>
      </c>
      <c r="AB82" s="78">
        <f ca="1">$I$30*$AB$30</f>
        <v>0</v>
      </c>
      <c r="AC82" s="78">
        <f ca="1">$I$30*$AC$30</f>
        <v>0</v>
      </c>
      <c r="AD82" s="78">
        <f>$I$30*$AD$30</f>
        <v>0</v>
      </c>
      <c r="AE82" s="78">
        <f>$I$30*$AE$30</f>
        <v>0</v>
      </c>
      <c r="AF82" s="78">
        <f ca="1">$I$30*$AF$30</f>
        <v>0</v>
      </c>
      <c r="AG82" s="78">
        <f ca="1">$I$30*$AG$30</f>
        <v>0</v>
      </c>
      <c r="AI82" s="78">
        <f>$I$30*$AI$30</f>
        <v>0</v>
      </c>
      <c r="AJ82" s="78">
        <f>$I$30*$AJ$30</f>
        <v>0</v>
      </c>
      <c r="AK82" s="78">
        <f>$I$30*$AK$30</f>
        <v>0</v>
      </c>
      <c r="AL82" s="78">
        <f>$I$30*$AL$30</f>
        <v>0</v>
      </c>
      <c r="AM82" s="78">
        <f>$I$30*$AM$30</f>
        <v>0</v>
      </c>
      <c r="AN82" s="78">
        <f>$I$30*$AN$30</f>
        <v>0</v>
      </c>
      <c r="AO82" s="78">
        <f>$I$30*$AO$30</f>
        <v>0</v>
      </c>
      <c r="AP82" s="78">
        <f>$I$30*$AP$30</f>
        <v>0</v>
      </c>
      <c r="AQ82" s="78">
        <f>$I$30*$AQ$30</f>
        <v>0</v>
      </c>
      <c r="AR82" s="78">
        <f>$I$30*$AR$30</f>
        <v>0</v>
      </c>
      <c r="AS82" s="78">
        <f>$I$30*$AS$30</f>
        <v>0</v>
      </c>
      <c r="AT82" s="78">
        <f>$I$30*$AT$30</f>
        <v>0</v>
      </c>
      <c r="AU82" s="78">
        <f>$I$30*$AU$30</f>
        <v>0</v>
      </c>
      <c r="AV82" s="78">
        <f>$I$30*$AV$30</f>
        <v>0</v>
      </c>
      <c r="AW82" s="78">
        <f>$I$30*$AW$30</f>
        <v>0</v>
      </c>
      <c r="AX82" s="78">
        <f>$I$30*$AX$30</f>
        <v>0</v>
      </c>
      <c r="AY82" s="78">
        <f>$I$30*$AY$30</f>
        <v>0</v>
      </c>
      <c r="AZ82" s="78">
        <f>$I$30*$AZ$30</f>
        <v>0</v>
      </c>
      <c r="BA82" s="78">
        <f>$I$30*$BA$30</f>
        <v>0</v>
      </c>
      <c r="BB82" s="78">
        <f>$I$30*$BB$30</f>
        <v>0</v>
      </c>
      <c r="BC82" s="78">
        <f>$I$30*$BC$30</f>
        <v>0</v>
      </c>
      <c r="BD82" s="78">
        <f>$I$30*$BD$30</f>
        <v>0</v>
      </c>
    </row>
    <row r="83" spans="1:56" ht="11.25" customHeight="1" x14ac:dyDescent="0.3">
      <c r="A83" s="9" t="s">
        <v>40</v>
      </c>
      <c r="B83" s="9" t="s">
        <v>741</v>
      </c>
      <c r="C83" s="9" t="s">
        <v>742</v>
      </c>
      <c r="D83" s="9" t="s">
        <v>743</v>
      </c>
      <c r="E83" s="9" t="s">
        <v>744</v>
      </c>
      <c r="F83" s="9" t="s">
        <v>745</v>
      </c>
      <c r="G83" s="9" t="s">
        <v>747</v>
      </c>
      <c r="L83" s="78">
        <f>$I$31*$L$31</f>
        <v>0</v>
      </c>
      <c r="M83" s="78">
        <f>$I$31*$M$31</f>
        <v>0</v>
      </c>
      <c r="N83" s="78">
        <f ca="1">$I$31*$N$31</f>
        <v>0</v>
      </c>
      <c r="O83" s="78">
        <f>$I$31*$O$31</f>
        <v>0</v>
      </c>
      <c r="P83" s="78">
        <f>$I$31*$P$31</f>
        <v>0</v>
      </c>
      <c r="Q83" s="78">
        <f>$I$31*$Q$31</f>
        <v>0</v>
      </c>
      <c r="R83" s="78">
        <f>$I$31*$R$31</f>
        <v>0</v>
      </c>
      <c r="S83" s="78">
        <f>$I$31*$S$31</f>
        <v>0</v>
      </c>
      <c r="T83" s="78">
        <f>$I$31*$T$31</f>
        <v>0</v>
      </c>
      <c r="U83" s="78">
        <f>$I$31*$U$31</f>
        <v>0</v>
      </c>
      <c r="V83" s="78">
        <f>$I$31*$V$31</f>
        <v>0</v>
      </c>
      <c r="W83" s="78">
        <f>$I$31*$W$31</f>
        <v>0</v>
      </c>
      <c r="X83" s="78">
        <f>$I$31*$X$31</f>
        <v>0</v>
      </c>
      <c r="Y83" s="78">
        <f>$I$31*$Y$31</f>
        <v>0</v>
      </c>
      <c r="Z83" s="78">
        <f>$I$31*$Z$31</f>
        <v>0</v>
      </c>
      <c r="AA83" s="78">
        <f>$I$31*$AA$31</f>
        <v>0</v>
      </c>
      <c r="AB83" s="78">
        <f ca="1">$I$31*$AB$31</f>
        <v>0</v>
      </c>
      <c r="AC83" s="78">
        <f ca="1">$I$31*$AC$31</f>
        <v>0</v>
      </c>
      <c r="AD83" s="78">
        <f>$I$31*$AD$31</f>
        <v>0</v>
      </c>
      <c r="AE83" s="78">
        <f>$I$31*$AE$31</f>
        <v>0</v>
      </c>
      <c r="AF83" s="78">
        <f ca="1">$I$31*$AF$31</f>
        <v>0</v>
      </c>
      <c r="AG83" s="78">
        <f ca="1">$I$31*$AG$31</f>
        <v>0</v>
      </c>
      <c r="AI83" s="78">
        <f>$I$31*$AI$31</f>
        <v>0</v>
      </c>
      <c r="AJ83" s="78">
        <f>$I$31*$AJ$31</f>
        <v>0</v>
      </c>
      <c r="AK83" s="78">
        <f>$I$31*$AK$31</f>
        <v>0</v>
      </c>
      <c r="AL83" s="78">
        <f>$I$31*$AL$31</f>
        <v>0</v>
      </c>
      <c r="AM83" s="78">
        <f>$I$31*$AM$31</f>
        <v>0</v>
      </c>
      <c r="AN83" s="78">
        <f>$I$31*$AN$31</f>
        <v>0</v>
      </c>
      <c r="AO83" s="78">
        <f>$I$31*$AO$31</f>
        <v>0</v>
      </c>
      <c r="AP83" s="78">
        <f>$I$31*$AP$31</f>
        <v>0</v>
      </c>
      <c r="AQ83" s="78">
        <f>$I$31*$AQ$31</f>
        <v>0</v>
      </c>
      <c r="AR83" s="78">
        <f>$I$31*$AR$31</f>
        <v>0</v>
      </c>
      <c r="AS83" s="78">
        <f>$I$31*$AS$31</f>
        <v>0</v>
      </c>
      <c r="AT83" s="78">
        <f>$I$31*$AT$31</f>
        <v>0</v>
      </c>
      <c r="AU83" s="78">
        <f>$I$31*$AU$31</f>
        <v>0</v>
      </c>
      <c r="AV83" s="78">
        <f>$I$31*$AV$31</f>
        <v>0</v>
      </c>
      <c r="AW83" s="78">
        <f>$I$31*$AW$31</f>
        <v>0</v>
      </c>
      <c r="AX83" s="78">
        <f>$I$31*$AX$31</f>
        <v>0</v>
      </c>
      <c r="AY83" s="78">
        <f>$I$31*$AY$31</f>
        <v>0</v>
      </c>
      <c r="AZ83" s="78">
        <f>$I$31*$AZ$31</f>
        <v>0</v>
      </c>
      <c r="BA83" s="78">
        <f>$I$31*$BA$31</f>
        <v>0</v>
      </c>
      <c r="BB83" s="78">
        <f>$I$31*$BB$31</f>
        <v>0</v>
      </c>
      <c r="BC83" s="78">
        <f>$I$31*$BC$31</f>
        <v>0</v>
      </c>
      <c r="BD83" s="78">
        <f>$I$31*$BD$31</f>
        <v>0</v>
      </c>
    </row>
    <row r="84" spans="1:56" ht="11.25" customHeight="1" x14ac:dyDescent="0.3">
      <c r="A84" s="9" t="s">
        <v>40</v>
      </c>
      <c r="B84" s="9" t="s">
        <v>741</v>
      </c>
      <c r="C84" s="9" t="s">
        <v>742</v>
      </c>
      <c r="D84" s="9" t="s">
        <v>743</v>
      </c>
      <c r="E84" s="9" t="s">
        <v>744</v>
      </c>
      <c r="F84" s="9" t="s">
        <v>745</v>
      </c>
      <c r="G84" s="9" t="s">
        <v>748</v>
      </c>
      <c r="L84" s="78">
        <f>$I$32*$L$32</f>
        <v>0</v>
      </c>
      <c r="M84" s="78">
        <f>$I$32*$M$32</f>
        <v>0</v>
      </c>
      <c r="N84" s="78">
        <f ca="1">$I$32*$N$32</f>
        <v>0</v>
      </c>
      <c r="O84" s="78">
        <f>$I$32*$O$32</f>
        <v>0</v>
      </c>
      <c r="P84" s="78">
        <f>$I$32*$P$32</f>
        <v>0</v>
      </c>
      <c r="Q84" s="78">
        <f>$I$32*$Q$32</f>
        <v>0</v>
      </c>
      <c r="R84" s="78">
        <f>$I$32*$R$32</f>
        <v>0</v>
      </c>
      <c r="S84" s="78">
        <f>$I$32*$S$32</f>
        <v>0</v>
      </c>
      <c r="T84" s="78">
        <f>$I$32*$T$32</f>
        <v>0</v>
      </c>
      <c r="U84" s="78">
        <f>$I$32*$U$32</f>
        <v>0</v>
      </c>
      <c r="V84" s="78">
        <f>$I$32*$V$32</f>
        <v>0</v>
      </c>
      <c r="W84" s="78">
        <f>$I$32*$W$32</f>
        <v>0</v>
      </c>
      <c r="X84" s="78">
        <f>$I$32*$X$32</f>
        <v>0</v>
      </c>
      <c r="Y84" s="78">
        <f>$I$32*$Y$32</f>
        <v>0</v>
      </c>
      <c r="Z84" s="78">
        <f>$I$32*$Z$32</f>
        <v>0</v>
      </c>
      <c r="AA84" s="78">
        <f>$I$32*$AA$32</f>
        <v>0</v>
      </c>
      <c r="AB84" s="78">
        <f ca="1">$I$32*$AB$32</f>
        <v>0</v>
      </c>
      <c r="AC84" s="78">
        <f ca="1">$I$32*$AC$32</f>
        <v>0</v>
      </c>
      <c r="AD84" s="78">
        <f>$I$32*$AD$32</f>
        <v>0</v>
      </c>
      <c r="AE84" s="78">
        <f>$I$32*$AE$32</f>
        <v>0</v>
      </c>
      <c r="AF84" s="78">
        <f ca="1">$I$32*$AF$32</f>
        <v>0</v>
      </c>
      <c r="AG84" s="78">
        <f ca="1">$I$32*$AG$32</f>
        <v>0</v>
      </c>
      <c r="AI84" s="78">
        <f>$I$32*$AI$32</f>
        <v>0</v>
      </c>
      <c r="AJ84" s="78">
        <f>$I$32*$AJ$32</f>
        <v>0</v>
      </c>
      <c r="AK84" s="78">
        <f>$I$32*$AK$32</f>
        <v>0</v>
      </c>
      <c r="AL84" s="78">
        <f>$I$32*$AL$32</f>
        <v>0</v>
      </c>
      <c r="AM84" s="78">
        <f>$I$32*$AM$32</f>
        <v>0</v>
      </c>
      <c r="AN84" s="78">
        <f>$I$32*$AN$32</f>
        <v>0</v>
      </c>
      <c r="AO84" s="78">
        <f>$I$32*$AO$32</f>
        <v>0</v>
      </c>
      <c r="AP84" s="78">
        <f>$I$32*$AP$32</f>
        <v>0</v>
      </c>
      <c r="AQ84" s="78">
        <f>$I$32*$AQ$32</f>
        <v>0</v>
      </c>
      <c r="AR84" s="78">
        <f>$I$32*$AR$32</f>
        <v>0</v>
      </c>
      <c r="AS84" s="78">
        <f>$I$32*$AS$32</f>
        <v>0</v>
      </c>
      <c r="AT84" s="78">
        <f>$I$32*$AT$32</f>
        <v>0</v>
      </c>
      <c r="AU84" s="78">
        <f>$I$32*$AU$32</f>
        <v>0</v>
      </c>
      <c r="AV84" s="78">
        <f>$I$32*$AV$32</f>
        <v>0</v>
      </c>
      <c r="AW84" s="78">
        <f>$I$32*$AW$32</f>
        <v>0</v>
      </c>
      <c r="AX84" s="78">
        <f>$I$32*$AX$32</f>
        <v>0</v>
      </c>
      <c r="AY84" s="78">
        <f>$I$32*$AY$32</f>
        <v>0</v>
      </c>
      <c r="AZ84" s="78">
        <f>$I$32*$AZ$32</f>
        <v>0</v>
      </c>
      <c r="BA84" s="78">
        <f>$I$32*$BA$32</f>
        <v>0</v>
      </c>
      <c r="BB84" s="78">
        <f>$I$32*$BB$32</f>
        <v>0</v>
      </c>
      <c r="BC84" s="78">
        <f>$I$32*$BC$32</f>
        <v>0</v>
      </c>
      <c r="BD84" s="78">
        <f>$I$32*$BD$32</f>
        <v>0</v>
      </c>
    </row>
    <row r="85" spans="1:56" ht="11.25" customHeight="1" x14ac:dyDescent="0.3">
      <c r="A85" s="9" t="s">
        <v>40</v>
      </c>
      <c r="B85" s="9" t="s">
        <v>749</v>
      </c>
      <c r="C85" s="9" t="s">
        <v>750</v>
      </c>
      <c r="D85" s="9" t="s">
        <v>751</v>
      </c>
      <c r="E85" s="9" t="s">
        <v>752</v>
      </c>
      <c r="F85" s="9" t="s">
        <v>753</v>
      </c>
      <c r="G85" s="9" t="s">
        <v>754</v>
      </c>
      <c r="L85" s="78">
        <f>$I$33*$L$33</f>
        <v>69404.116172943846</v>
      </c>
      <c r="M85" s="78">
        <f>$I$33*$M$33</f>
        <v>3387.3966634709973</v>
      </c>
      <c r="N85" s="78">
        <f ca="1">$I$33*$N$33</f>
        <v>0</v>
      </c>
      <c r="O85" s="78">
        <f>$I$33*$O$33</f>
        <v>0</v>
      </c>
      <c r="P85" s="78">
        <f>$I$33*$P$33</f>
        <v>0</v>
      </c>
      <c r="Q85" s="78">
        <f>$I$33*$Q$33</f>
        <v>112600.21783279849</v>
      </c>
      <c r="R85" s="78">
        <f>$I$33*$R$33</f>
        <v>19539.407921016646</v>
      </c>
      <c r="S85" s="78">
        <f>$I$33*$S$33</f>
        <v>0</v>
      </c>
      <c r="T85" s="78">
        <f>$I$33*$T$33</f>
        <v>0</v>
      </c>
      <c r="U85" s="78">
        <f>$I$33*$U$33</f>
        <v>0</v>
      </c>
      <c r="V85" s="78">
        <f>$I$33*$V$33</f>
        <v>0</v>
      </c>
      <c r="W85" s="78">
        <f>$I$33*$W$33</f>
        <v>0</v>
      </c>
      <c r="X85" s="78">
        <f>$I$33*$X$33</f>
        <v>549965.40624178806</v>
      </c>
      <c r="Y85" s="78">
        <f>$I$33*$Y$33</f>
        <v>0</v>
      </c>
      <c r="Z85" s="78">
        <f>$I$33*$Z$33</f>
        <v>0</v>
      </c>
      <c r="AA85" s="78">
        <f>$I$33*$AA$33</f>
        <v>699903.21442394122</v>
      </c>
      <c r="AB85" s="78">
        <f ca="1">$I$33*$AB$33</f>
        <v>0</v>
      </c>
      <c r="AC85" s="78">
        <f ca="1">$I$33*$AC$33</f>
        <v>0</v>
      </c>
      <c r="AD85" s="78">
        <f>$I$33*$AD$33</f>
        <v>32199.485323212339</v>
      </c>
      <c r="AE85" s="78">
        <f>$I$33*$AE$33</f>
        <v>0</v>
      </c>
      <c r="AF85" s="78">
        <f ca="1">$I$33*$AF$33</f>
        <v>4397.5211858034309</v>
      </c>
      <c r="AG85" s="78">
        <f ca="1">$I$33*$AG$33</f>
        <v>0</v>
      </c>
      <c r="AI85" s="78">
        <f>$I$33*$AI$33</f>
        <v>0</v>
      </c>
      <c r="AJ85" s="78">
        <f>$I$33*$AJ$33</f>
        <v>2954.6847816370187</v>
      </c>
      <c r="AK85" s="78">
        <f>$I$33*$AK$33</f>
        <v>0</v>
      </c>
      <c r="AL85" s="78">
        <f>$I$33*$AL$33</f>
        <v>0</v>
      </c>
      <c r="AM85" s="78">
        <f>$I$33*$AM$33</f>
        <v>0</v>
      </c>
      <c r="AN85" s="78">
        <f>$I$33*$AN$33</f>
        <v>149489.31347546724</v>
      </c>
      <c r="AO85" s="78">
        <f>$I$33*$AO$33</f>
        <v>12452.263737759969</v>
      </c>
      <c r="AP85" s="78">
        <f>$I$33*$AP$33</f>
        <v>0</v>
      </c>
      <c r="AQ85" s="78">
        <f>$I$33*$AQ$33</f>
        <v>0</v>
      </c>
      <c r="AR85" s="78">
        <f>$I$33*$AR$33</f>
        <v>0</v>
      </c>
      <c r="AS85" s="78">
        <f>$I$33*$AS$33</f>
        <v>0</v>
      </c>
      <c r="AT85" s="78">
        <f>$I$33*$AT$33</f>
        <v>0</v>
      </c>
      <c r="AU85" s="78">
        <f>$I$33*$AU$33</f>
        <v>273497.99712332606</v>
      </c>
      <c r="AV85" s="78">
        <f>$I$33*$AV$33</f>
        <v>0</v>
      </c>
      <c r="AW85" s="78">
        <f>$I$33*$AW$33</f>
        <v>0</v>
      </c>
      <c r="AX85" s="78">
        <f>$I$33*$AX$33</f>
        <v>603442.38606529706</v>
      </c>
      <c r="AY85" s="78">
        <f>$I$33*$AY$33</f>
        <v>21778.706128583588</v>
      </c>
      <c r="AZ85" s="78">
        <f>$I$33*$AZ$33</f>
        <v>0</v>
      </c>
      <c r="BA85" s="78">
        <f>$I$33*$BA$33</f>
        <v>35419.504755162663</v>
      </c>
      <c r="BB85" s="78">
        <f>$I$33*$BB$33</f>
        <v>0</v>
      </c>
      <c r="BC85" s="78">
        <f>$I$33*$BC$33</f>
        <v>0</v>
      </c>
      <c r="BD85" s="78">
        <f>$I$33*$BD$33</f>
        <v>0</v>
      </c>
    </row>
    <row r="86" spans="1:56" ht="11.25" customHeight="1" x14ac:dyDescent="0.3">
      <c r="A86" s="9" t="s">
        <v>40</v>
      </c>
      <c r="B86" s="9" t="s">
        <v>741</v>
      </c>
      <c r="C86" s="9" t="s">
        <v>742</v>
      </c>
      <c r="D86" s="9" t="s">
        <v>755</v>
      </c>
      <c r="E86" s="9" t="s">
        <v>756</v>
      </c>
      <c r="F86" s="9" t="s">
        <v>757</v>
      </c>
      <c r="G86" s="9" t="s">
        <v>758</v>
      </c>
      <c r="L86" s="78">
        <f>$I$34*$L$34</f>
        <v>0</v>
      </c>
      <c r="M86" s="78">
        <f>$I$34*$M$34</f>
        <v>0</v>
      </c>
      <c r="N86" s="78">
        <f ca="1">$I$34*$N$34</f>
        <v>0</v>
      </c>
      <c r="O86" s="78">
        <f>$I$34*$O$34</f>
        <v>0</v>
      </c>
      <c r="P86" s="78">
        <f>$I$34*$P$34</f>
        <v>0</v>
      </c>
      <c r="Q86" s="78">
        <f>$I$34*$Q$34</f>
        <v>0</v>
      </c>
      <c r="R86" s="78">
        <f>$I$34*$R$34</f>
        <v>0</v>
      </c>
      <c r="S86" s="78">
        <f>$I$34*$S$34</f>
        <v>0</v>
      </c>
      <c r="T86" s="78">
        <f>$I$34*$T$34</f>
        <v>0</v>
      </c>
      <c r="U86" s="78">
        <f>$I$34*$U$34</f>
        <v>0</v>
      </c>
      <c r="V86" s="78">
        <f>$I$34*$V$34</f>
        <v>0</v>
      </c>
      <c r="W86" s="78">
        <f>$I$34*$W$34</f>
        <v>0</v>
      </c>
      <c r="X86" s="78">
        <f>$I$34*$X$34</f>
        <v>0</v>
      </c>
      <c r="Y86" s="78">
        <f>$I$34*$Y$34</f>
        <v>0</v>
      </c>
      <c r="Z86" s="78">
        <f>$I$34*$Z$34</f>
        <v>0</v>
      </c>
      <c r="AA86" s="78">
        <f>$I$34*$AA$34</f>
        <v>0</v>
      </c>
      <c r="AB86" s="78">
        <f ca="1">$I$34*$AB$34</f>
        <v>0</v>
      </c>
      <c r="AC86" s="78">
        <f ca="1">$I$34*$AC$34</f>
        <v>0</v>
      </c>
      <c r="AD86" s="78">
        <f>$I$34*$AD$34</f>
        <v>0</v>
      </c>
      <c r="AE86" s="78">
        <f>$I$34*$AE$34</f>
        <v>0</v>
      </c>
      <c r="AF86" s="78">
        <f ca="1">$I$34*$AF$34</f>
        <v>0</v>
      </c>
      <c r="AG86" s="78">
        <f ca="1">$I$34*$AG$34</f>
        <v>0</v>
      </c>
      <c r="AI86" s="78">
        <f>$I$34*$AI$34</f>
        <v>0</v>
      </c>
      <c r="AJ86" s="78">
        <f>$I$34*$AJ$34</f>
        <v>0</v>
      </c>
      <c r="AK86" s="78">
        <f>$I$34*$AK$34</f>
        <v>0</v>
      </c>
      <c r="AL86" s="78">
        <f>$I$34*$AL$34</f>
        <v>0</v>
      </c>
      <c r="AM86" s="78">
        <f>$I$34*$AM$34</f>
        <v>0</v>
      </c>
      <c r="AN86" s="78">
        <f>$I$34*$AN$34</f>
        <v>0</v>
      </c>
      <c r="AO86" s="78">
        <f>$I$34*$AO$34</f>
        <v>0</v>
      </c>
      <c r="AP86" s="78">
        <f>$I$34*$AP$34</f>
        <v>0</v>
      </c>
      <c r="AQ86" s="78">
        <f>$I$34*$AQ$34</f>
        <v>0</v>
      </c>
      <c r="AR86" s="78">
        <f>$I$34*$AR$34</f>
        <v>0</v>
      </c>
      <c r="AS86" s="78">
        <f>$I$34*$AS$34</f>
        <v>0</v>
      </c>
      <c r="AT86" s="78">
        <f>$I$34*$AT$34</f>
        <v>0</v>
      </c>
      <c r="AU86" s="78">
        <f>$I$34*$AU$34</f>
        <v>0</v>
      </c>
      <c r="AV86" s="78">
        <f>$I$34*$AV$34</f>
        <v>0</v>
      </c>
      <c r="AW86" s="78">
        <f>$I$34*$AW$34</f>
        <v>0</v>
      </c>
      <c r="AX86" s="78">
        <f>$I$34*$AX$34</f>
        <v>0</v>
      </c>
      <c r="AY86" s="78">
        <f>$I$34*$AY$34</f>
        <v>0</v>
      </c>
      <c r="AZ86" s="78">
        <f>$I$34*$AZ$34</f>
        <v>0</v>
      </c>
      <c r="BA86" s="78">
        <f>$I$34*$BA$34</f>
        <v>0</v>
      </c>
      <c r="BB86" s="78">
        <f>$I$34*$BB$34</f>
        <v>0</v>
      </c>
      <c r="BC86" s="78">
        <f>$I$34*$BC$34</f>
        <v>0</v>
      </c>
      <c r="BD86" s="78">
        <f>$I$34*$BD$34</f>
        <v>0</v>
      </c>
    </row>
    <row r="87" spans="1:56" ht="11.25" customHeight="1" x14ac:dyDescent="0.3">
      <c r="A87" s="9" t="s">
        <v>40</v>
      </c>
      <c r="B87" s="9" t="s">
        <v>741</v>
      </c>
      <c r="C87" s="9" t="s">
        <v>742</v>
      </c>
      <c r="D87" s="9" t="s">
        <v>755</v>
      </c>
      <c r="E87" s="9" t="s">
        <v>756</v>
      </c>
      <c r="F87" s="9" t="s">
        <v>757</v>
      </c>
      <c r="G87" s="9" t="s">
        <v>759</v>
      </c>
      <c r="L87" s="78">
        <f>$I$35*$L$35</f>
        <v>0</v>
      </c>
      <c r="M87" s="78">
        <f>$I$35*$M$35</f>
        <v>0</v>
      </c>
      <c r="N87" s="78">
        <f ca="1">$I$35*$N$35</f>
        <v>0</v>
      </c>
      <c r="O87" s="78">
        <f>$I$35*$O$35</f>
        <v>0</v>
      </c>
      <c r="P87" s="78">
        <f>$I$35*$P$35</f>
        <v>0</v>
      </c>
      <c r="Q87" s="78">
        <f>$I$35*$Q$35</f>
        <v>0</v>
      </c>
      <c r="R87" s="78">
        <f>$I$35*$R$35</f>
        <v>0</v>
      </c>
      <c r="S87" s="78">
        <f>$I$35*$S$35</f>
        <v>0</v>
      </c>
      <c r="T87" s="78">
        <f>$I$35*$T$35</f>
        <v>0</v>
      </c>
      <c r="U87" s="78">
        <f>$I$35*$U$35</f>
        <v>0</v>
      </c>
      <c r="V87" s="78">
        <f>$I$35*$V$35</f>
        <v>0</v>
      </c>
      <c r="W87" s="78">
        <f>$I$35*$W$35</f>
        <v>0</v>
      </c>
      <c r="X87" s="78">
        <f>$I$35*$X$35</f>
        <v>0</v>
      </c>
      <c r="Y87" s="78">
        <f>$I$35*$Y$35</f>
        <v>0</v>
      </c>
      <c r="Z87" s="78">
        <f>$I$35*$Z$35</f>
        <v>0</v>
      </c>
      <c r="AA87" s="78">
        <f>$I$35*$AA$35</f>
        <v>0</v>
      </c>
      <c r="AB87" s="78">
        <f ca="1">$I$35*$AB$35</f>
        <v>0</v>
      </c>
      <c r="AC87" s="78">
        <f ca="1">$I$35*$AC$35</f>
        <v>0</v>
      </c>
      <c r="AD87" s="78">
        <f>$I$35*$AD$35</f>
        <v>0</v>
      </c>
      <c r="AE87" s="78">
        <f>$I$35*$AE$35</f>
        <v>0</v>
      </c>
      <c r="AF87" s="78">
        <f ca="1">$I$35*$AF$35</f>
        <v>0</v>
      </c>
      <c r="AG87" s="78">
        <f ca="1">$I$35*$AG$35</f>
        <v>0</v>
      </c>
      <c r="AI87" s="78">
        <f>$I$35*$AI$35</f>
        <v>0</v>
      </c>
      <c r="AJ87" s="78">
        <f>$I$35*$AJ$35</f>
        <v>0</v>
      </c>
      <c r="AK87" s="78">
        <f>$I$35*$AK$35</f>
        <v>0</v>
      </c>
      <c r="AL87" s="78">
        <f>$I$35*$AL$35</f>
        <v>0</v>
      </c>
      <c r="AM87" s="78">
        <f>$I$35*$AM$35</f>
        <v>0</v>
      </c>
      <c r="AN87" s="78">
        <f>$I$35*$AN$35</f>
        <v>0</v>
      </c>
      <c r="AO87" s="78">
        <f>$I$35*$AO$35</f>
        <v>0</v>
      </c>
      <c r="AP87" s="78">
        <f>$I$35*$AP$35</f>
        <v>0</v>
      </c>
      <c r="AQ87" s="78">
        <f>$I$35*$AQ$35</f>
        <v>0</v>
      </c>
      <c r="AR87" s="78">
        <f>$I$35*$AR$35</f>
        <v>0</v>
      </c>
      <c r="AS87" s="78">
        <f>$I$35*$AS$35</f>
        <v>0</v>
      </c>
      <c r="AT87" s="78">
        <f>$I$35*$AT$35</f>
        <v>0</v>
      </c>
      <c r="AU87" s="78">
        <f>$I$35*$AU$35</f>
        <v>0</v>
      </c>
      <c r="AV87" s="78">
        <f>$I$35*$AV$35</f>
        <v>0</v>
      </c>
      <c r="AW87" s="78">
        <f>$I$35*$AW$35</f>
        <v>0</v>
      </c>
      <c r="AX87" s="78">
        <f>$I$35*$AX$35</f>
        <v>0</v>
      </c>
      <c r="AY87" s="78">
        <f>$I$35*$AY$35</f>
        <v>0</v>
      </c>
      <c r="AZ87" s="78">
        <f>$I$35*$AZ$35</f>
        <v>0</v>
      </c>
      <c r="BA87" s="78">
        <f>$I$35*$BA$35</f>
        <v>0</v>
      </c>
      <c r="BB87" s="78">
        <f>$I$35*$BB$35</f>
        <v>0</v>
      </c>
      <c r="BC87" s="78">
        <f>$I$35*$BC$35</f>
        <v>0</v>
      </c>
      <c r="BD87" s="78">
        <f>$I$35*$BD$35</f>
        <v>0</v>
      </c>
    </row>
    <row r="88" spans="1:56" ht="11.25" customHeight="1" x14ac:dyDescent="0.3">
      <c r="A88" s="9" t="s">
        <v>40</v>
      </c>
      <c r="B88" s="9" t="s">
        <v>741</v>
      </c>
      <c r="C88" s="9" t="s">
        <v>742</v>
      </c>
      <c r="D88" s="9" t="s">
        <v>755</v>
      </c>
      <c r="E88" s="9" t="s">
        <v>756</v>
      </c>
      <c r="F88" s="9" t="s">
        <v>757</v>
      </c>
      <c r="G88" s="9" t="s">
        <v>760</v>
      </c>
      <c r="L88" s="78">
        <f>$I$36*$L$36</f>
        <v>0</v>
      </c>
      <c r="M88" s="78">
        <f>$I$36*$M$36</f>
        <v>0</v>
      </c>
      <c r="N88" s="78">
        <f ca="1">$I$36*$N$36</f>
        <v>0</v>
      </c>
      <c r="O88" s="78">
        <f>$I$36*$O$36</f>
        <v>0</v>
      </c>
      <c r="P88" s="78">
        <f>$I$36*$P$36</f>
        <v>0</v>
      </c>
      <c r="Q88" s="78">
        <f>$I$36*$Q$36</f>
        <v>0</v>
      </c>
      <c r="R88" s="78">
        <f>$I$36*$R$36</f>
        <v>0</v>
      </c>
      <c r="S88" s="78">
        <f>$I$36*$S$36</f>
        <v>0</v>
      </c>
      <c r="T88" s="78">
        <f>$I$36*$T$36</f>
        <v>0</v>
      </c>
      <c r="U88" s="78">
        <f>$I$36*$U$36</f>
        <v>0</v>
      </c>
      <c r="V88" s="78">
        <f>$I$36*$V$36</f>
        <v>0</v>
      </c>
      <c r="W88" s="78">
        <f>$I$36*$W$36</f>
        <v>0</v>
      </c>
      <c r="X88" s="78">
        <f>$I$36*$X$36</f>
        <v>0</v>
      </c>
      <c r="Y88" s="78">
        <f>$I$36*$Y$36</f>
        <v>0</v>
      </c>
      <c r="Z88" s="78">
        <f>$I$36*$Z$36</f>
        <v>0</v>
      </c>
      <c r="AA88" s="78">
        <f>$I$36*$AA$36</f>
        <v>0</v>
      </c>
      <c r="AB88" s="78">
        <f ca="1">$I$36*$AB$36</f>
        <v>0</v>
      </c>
      <c r="AC88" s="78">
        <f ca="1">$I$36*$AC$36</f>
        <v>0</v>
      </c>
      <c r="AD88" s="78">
        <f>$I$36*$AD$36</f>
        <v>0</v>
      </c>
      <c r="AE88" s="78">
        <f>$I$36*$AE$36</f>
        <v>0</v>
      </c>
      <c r="AF88" s="78">
        <f ca="1">$I$36*$AF$36</f>
        <v>0</v>
      </c>
      <c r="AG88" s="78">
        <f ca="1">$I$36*$AG$36</f>
        <v>0</v>
      </c>
      <c r="AI88" s="78">
        <f>$I$36*$AI$36</f>
        <v>0</v>
      </c>
      <c r="AJ88" s="78">
        <f>$I$36*$AJ$36</f>
        <v>0</v>
      </c>
      <c r="AK88" s="78">
        <f>$I$36*$AK$36</f>
        <v>0</v>
      </c>
      <c r="AL88" s="78">
        <f>$I$36*$AL$36</f>
        <v>0</v>
      </c>
      <c r="AM88" s="78">
        <f>$I$36*$AM$36</f>
        <v>0</v>
      </c>
      <c r="AN88" s="78">
        <f>$I$36*$AN$36</f>
        <v>0</v>
      </c>
      <c r="AO88" s="78">
        <f>$I$36*$AO$36</f>
        <v>0</v>
      </c>
      <c r="AP88" s="78">
        <f>$I$36*$AP$36</f>
        <v>0</v>
      </c>
      <c r="AQ88" s="78">
        <f>$I$36*$AQ$36</f>
        <v>0</v>
      </c>
      <c r="AR88" s="78">
        <f>$I$36*$AR$36</f>
        <v>0</v>
      </c>
      <c r="AS88" s="78">
        <f>$I$36*$AS$36</f>
        <v>0</v>
      </c>
      <c r="AT88" s="78">
        <f>$I$36*$AT$36</f>
        <v>0</v>
      </c>
      <c r="AU88" s="78">
        <f>$I$36*$AU$36</f>
        <v>0</v>
      </c>
      <c r="AV88" s="78">
        <f>$I$36*$AV$36</f>
        <v>0</v>
      </c>
      <c r="AW88" s="78">
        <f>$I$36*$AW$36</f>
        <v>0</v>
      </c>
      <c r="AX88" s="78">
        <f>$I$36*$AX$36</f>
        <v>0</v>
      </c>
      <c r="AY88" s="78">
        <f>$I$36*$AY$36</f>
        <v>0</v>
      </c>
      <c r="AZ88" s="78">
        <f>$I$36*$AZ$36</f>
        <v>0</v>
      </c>
      <c r="BA88" s="78">
        <f>$I$36*$BA$36</f>
        <v>0</v>
      </c>
      <c r="BB88" s="78">
        <f>$I$36*$BB$36</f>
        <v>0</v>
      </c>
      <c r="BC88" s="78">
        <f>$I$36*$BC$36</f>
        <v>0</v>
      </c>
      <c r="BD88" s="78">
        <f>$I$36*$BD$36</f>
        <v>0</v>
      </c>
    </row>
    <row r="89" spans="1:56" ht="11.25" customHeight="1" x14ac:dyDescent="0.3">
      <c r="A89" s="9" t="s">
        <v>40</v>
      </c>
      <c r="B89" s="9" t="s">
        <v>749</v>
      </c>
      <c r="C89" s="9" t="s">
        <v>750</v>
      </c>
      <c r="D89" s="9" t="s">
        <v>761</v>
      </c>
      <c r="E89" s="9" t="s">
        <v>762</v>
      </c>
      <c r="F89" s="9" t="s">
        <v>763</v>
      </c>
      <c r="G89" s="9" t="s">
        <v>764</v>
      </c>
      <c r="L89" s="78">
        <f>$I$37*$L$37</f>
        <v>0</v>
      </c>
      <c r="M89" s="78">
        <f>$I$37*$M$37</f>
        <v>0</v>
      </c>
      <c r="N89" s="78">
        <f ca="1">$I$37*$N$37</f>
        <v>0</v>
      </c>
      <c r="O89" s="78">
        <f>$I$37*$O$37</f>
        <v>0</v>
      </c>
      <c r="P89" s="78">
        <f>$I$37*$P$37</f>
        <v>0</v>
      </c>
      <c r="Q89" s="78">
        <f>$I$37*$Q$37</f>
        <v>0</v>
      </c>
      <c r="R89" s="78">
        <f>$I$37*$R$37</f>
        <v>0</v>
      </c>
      <c r="S89" s="78">
        <f>$I$37*$S$37</f>
        <v>0</v>
      </c>
      <c r="T89" s="78">
        <f>$I$37*$T$37</f>
        <v>0</v>
      </c>
      <c r="U89" s="78">
        <f>$I$37*$U$37</f>
        <v>0</v>
      </c>
      <c r="V89" s="78">
        <f>$I$37*$V$37</f>
        <v>0</v>
      </c>
      <c r="W89" s="78">
        <f>$I$37*$W$37</f>
        <v>0</v>
      </c>
      <c r="X89" s="78">
        <f>$I$37*$X$37</f>
        <v>0</v>
      </c>
      <c r="Y89" s="78">
        <f>$I$37*$Y$37</f>
        <v>0</v>
      </c>
      <c r="Z89" s="78">
        <f>$I$37*$Z$37</f>
        <v>0</v>
      </c>
      <c r="AA89" s="78">
        <f>$I$37*$AA$37</f>
        <v>0</v>
      </c>
      <c r="AB89" s="78">
        <f ca="1">$I$37*$AB$37</f>
        <v>0</v>
      </c>
      <c r="AC89" s="78">
        <f ca="1">$I$37*$AC$37</f>
        <v>0</v>
      </c>
      <c r="AD89" s="78">
        <f>$I$37*$AD$37</f>
        <v>0</v>
      </c>
      <c r="AE89" s="78">
        <f>$I$37*$AE$37</f>
        <v>0</v>
      </c>
      <c r="AF89" s="78">
        <f ca="1">$I$37*$AF$37</f>
        <v>0</v>
      </c>
      <c r="AG89" s="78">
        <f ca="1">$I$37*$AG$37</f>
        <v>0</v>
      </c>
      <c r="AI89" s="78">
        <f>$I$37*$AI$37</f>
        <v>0</v>
      </c>
      <c r="AJ89" s="78">
        <f>$I$37*$AJ$37</f>
        <v>0</v>
      </c>
      <c r="AK89" s="78">
        <f>$I$37*$AK$37</f>
        <v>0</v>
      </c>
      <c r="AL89" s="78">
        <f>$I$37*$AL$37</f>
        <v>0</v>
      </c>
      <c r="AM89" s="78">
        <f>$I$37*$AM$37</f>
        <v>0</v>
      </c>
      <c r="AN89" s="78">
        <f>$I$37*$AN$37</f>
        <v>0</v>
      </c>
      <c r="AO89" s="78">
        <f>$I$37*$AO$37</f>
        <v>0</v>
      </c>
      <c r="AP89" s="78">
        <f>$I$37*$AP$37</f>
        <v>0</v>
      </c>
      <c r="AQ89" s="78">
        <f>$I$37*$AQ$37</f>
        <v>0</v>
      </c>
      <c r="AR89" s="78">
        <f>$I$37*$AR$37</f>
        <v>0</v>
      </c>
      <c r="AS89" s="78">
        <f>$I$37*$AS$37</f>
        <v>0</v>
      </c>
      <c r="AT89" s="78">
        <f>$I$37*$AT$37</f>
        <v>0</v>
      </c>
      <c r="AU89" s="78">
        <f>$I$37*$AU$37</f>
        <v>0</v>
      </c>
      <c r="AV89" s="78">
        <f>$I$37*$AV$37</f>
        <v>0</v>
      </c>
      <c r="AW89" s="78">
        <f>$I$37*$AW$37</f>
        <v>0</v>
      </c>
      <c r="AX89" s="78">
        <f>$I$37*$AX$37</f>
        <v>0</v>
      </c>
      <c r="AY89" s="78">
        <f>$I$37*$AY$37</f>
        <v>0</v>
      </c>
      <c r="AZ89" s="78">
        <f>$I$37*$AZ$37</f>
        <v>0</v>
      </c>
      <c r="BA89" s="78">
        <f>$I$37*$BA$37</f>
        <v>0</v>
      </c>
      <c r="BB89" s="78">
        <f>$I$37*$BB$37</f>
        <v>0</v>
      </c>
      <c r="BC89" s="78">
        <f>$I$37*$BC$37</f>
        <v>0</v>
      </c>
      <c r="BD89" s="78">
        <f>$I$37*$BD$37</f>
        <v>0</v>
      </c>
    </row>
    <row r="90" spans="1:56" ht="11.25" customHeight="1" x14ac:dyDescent="0.3">
      <c r="A90" s="9" t="s">
        <v>40</v>
      </c>
      <c r="B90" s="9" t="s">
        <v>741</v>
      </c>
      <c r="C90" s="9" t="s">
        <v>742</v>
      </c>
      <c r="D90" s="9" t="s">
        <v>765</v>
      </c>
      <c r="E90" s="9" t="s">
        <v>766</v>
      </c>
      <c r="F90" s="9" t="s">
        <v>767</v>
      </c>
      <c r="G90" s="9" t="s">
        <v>768</v>
      </c>
      <c r="L90" s="78">
        <f>$I$38*$L$38</f>
        <v>0</v>
      </c>
      <c r="M90" s="78">
        <f>$I$38*$M$38</f>
        <v>0</v>
      </c>
      <c r="N90" s="78">
        <f ca="1">$I$38*$N$38</f>
        <v>0</v>
      </c>
      <c r="O90" s="78">
        <f>$I$38*$O$38</f>
        <v>0</v>
      </c>
      <c r="P90" s="78">
        <f>$I$38*$P$38</f>
        <v>0</v>
      </c>
      <c r="Q90" s="78">
        <f>$I$38*$Q$38</f>
        <v>0</v>
      </c>
      <c r="R90" s="78">
        <f>$I$38*$R$38</f>
        <v>0</v>
      </c>
      <c r="S90" s="78">
        <f>$I$38*$S$38</f>
        <v>0</v>
      </c>
      <c r="T90" s="78">
        <f>$I$38*$T$38</f>
        <v>0</v>
      </c>
      <c r="U90" s="78">
        <f>$I$38*$U$38</f>
        <v>0</v>
      </c>
      <c r="V90" s="78">
        <f>$I$38*$V$38</f>
        <v>0</v>
      </c>
      <c r="W90" s="78">
        <f>$I$38*$W$38</f>
        <v>0</v>
      </c>
      <c r="X90" s="78">
        <f>$I$38*$X$38</f>
        <v>0</v>
      </c>
      <c r="Y90" s="78">
        <f>$I$38*$Y$38</f>
        <v>0</v>
      </c>
      <c r="Z90" s="78">
        <f>$I$38*$Z$38</f>
        <v>0</v>
      </c>
      <c r="AA90" s="78">
        <f>$I$38*$AA$38</f>
        <v>0</v>
      </c>
      <c r="AB90" s="78">
        <f ca="1">$I$38*$AB$38</f>
        <v>0</v>
      </c>
      <c r="AC90" s="78">
        <f ca="1">$I$38*$AC$38</f>
        <v>0</v>
      </c>
      <c r="AD90" s="78">
        <f>$I$38*$AD$38</f>
        <v>0</v>
      </c>
      <c r="AE90" s="78">
        <f>$I$38*$AE$38</f>
        <v>0</v>
      </c>
      <c r="AF90" s="78">
        <f ca="1">$I$38*$AF$38</f>
        <v>0</v>
      </c>
      <c r="AG90" s="78">
        <f ca="1">$I$38*$AG$38</f>
        <v>0</v>
      </c>
      <c r="AI90" s="78">
        <f>$I$38*$AI$38</f>
        <v>0</v>
      </c>
      <c r="AJ90" s="78">
        <f>$I$38*$AJ$38</f>
        <v>0</v>
      </c>
      <c r="AK90" s="78">
        <f>$I$38*$AK$38</f>
        <v>0</v>
      </c>
      <c r="AL90" s="78">
        <f>$I$38*$AL$38</f>
        <v>0</v>
      </c>
      <c r="AM90" s="78">
        <f>$I$38*$AM$38</f>
        <v>0</v>
      </c>
      <c r="AN90" s="78">
        <f>$I$38*$AN$38</f>
        <v>0</v>
      </c>
      <c r="AO90" s="78">
        <f>$I$38*$AO$38</f>
        <v>0</v>
      </c>
      <c r="AP90" s="78">
        <f>$I$38*$AP$38</f>
        <v>0</v>
      </c>
      <c r="AQ90" s="78">
        <f>$I$38*$AQ$38</f>
        <v>0</v>
      </c>
      <c r="AR90" s="78">
        <f>$I$38*$AR$38</f>
        <v>0</v>
      </c>
      <c r="AS90" s="78">
        <f>$I$38*$AS$38</f>
        <v>0</v>
      </c>
      <c r="AT90" s="78">
        <f>$I$38*$AT$38</f>
        <v>0</v>
      </c>
      <c r="AU90" s="78">
        <f>$I$38*$AU$38</f>
        <v>0</v>
      </c>
      <c r="AV90" s="78">
        <f>$I$38*$AV$38</f>
        <v>0</v>
      </c>
      <c r="AW90" s="78">
        <f>$I$38*$AW$38</f>
        <v>0</v>
      </c>
      <c r="AX90" s="78">
        <f>$I$38*$AX$38</f>
        <v>0</v>
      </c>
      <c r="AY90" s="78">
        <f>$I$38*$AY$38</f>
        <v>0</v>
      </c>
      <c r="AZ90" s="78">
        <f>$I$38*$AZ$38</f>
        <v>0</v>
      </c>
      <c r="BA90" s="78">
        <f>$I$38*$BA$38</f>
        <v>0</v>
      </c>
      <c r="BB90" s="78">
        <f>$I$38*$BB$38</f>
        <v>0</v>
      </c>
      <c r="BC90" s="78">
        <f>$I$38*$BC$38</f>
        <v>0</v>
      </c>
      <c r="BD90" s="78">
        <f>$I$38*$BD$38</f>
        <v>0</v>
      </c>
    </row>
    <row r="91" spans="1:56" ht="11.25" customHeight="1" x14ac:dyDescent="0.3">
      <c r="A91" s="9" t="s">
        <v>40</v>
      </c>
      <c r="B91" s="9" t="s">
        <v>741</v>
      </c>
      <c r="C91" s="9" t="s">
        <v>742</v>
      </c>
      <c r="D91" s="9" t="s">
        <v>765</v>
      </c>
      <c r="E91" s="9" t="s">
        <v>766</v>
      </c>
      <c r="F91" s="9" t="s">
        <v>767</v>
      </c>
      <c r="G91" s="9" t="s">
        <v>769</v>
      </c>
      <c r="L91" s="78">
        <f>$I$39*$L$39</f>
        <v>0</v>
      </c>
      <c r="M91" s="78">
        <f>$I$39*$M$39</f>
        <v>0</v>
      </c>
      <c r="N91" s="78">
        <f ca="1">$I$39*$N$39</f>
        <v>0</v>
      </c>
      <c r="O91" s="78">
        <f>$I$39*$O$39</f>
        <v>0</v>
      </c>
      <c r="P91" s="78">
        <f>$I$39*$P$39</f>
        <v>0</v>
      </c>
      <c r="Q91" s="78">
        <f>$I$39*$Q$39</f>
        <v>0</v>
      </c>
      <c r="R91" s="78">
        <f>$I$39*$R$39</f>
        <v>0</v>
      </c>
      <c r="S91" s="78">
        <f>$I$39*$S$39</f>
        <v>0</v>
      </c>
      <c r="T91" s="78">
        <f>$I$39*$T$39</f>
        <v>0</v>
      </c>
      <c r="U91" s="78">
        <f>$I$39*$U$39</f>
        <v>0</v>
      </c>
      <c r="V91" s="78">
        <f>$I$39*$V$39</f>
        <v>0</v>
      </c>
      <c r="W91" s="78">
        <f>$I$39*$W$39</f>
        <v>0</v>
      </c>
      <c r="X91" s="78">
        <f>$I$39*$X$39</f>
        <v>0</v>
      </c>
      <c r="Y91" s="78">
        <f>$I$39*$Y$39</f>
        <v>0</v>
      </c>
      <c r="Z91" s="78">
        <f>$I$39*$Z$39</f>
        <v>0</v>
      </c>
      <c r="AA91" s="78">
        <f>$I$39*$AA$39</f>
        <v>0</v>
      </c>
      <c r="AB91" s="78">
        <f ca="1">$I$39*$AB$39</f>
        <v>0</v>
      </c>
      <c r="AC91" s="78">
        <f ca="1">$I$39*$AC$39</f>
        <v>0</v>
      </c>
      <c r="AD91" s="78">
        <f>$I$39*$AD$39</f>
        <v>0</v>
      </c>
      <c r="AE91" s="78">
        <f>$I$39*$AE$39</f>
        <v>0</v>
      </c>
      <c r="AF91" s="78">
        <f ca="1">$I$39*$AF$39</f>
        <v>0</v>
      </c>
      <c r="AG91" s="78">
        <f ca="1">$I$39*$AG$39</f>
        <v>0</v>
      </c>
      <c r="AI91" s="78">
        <f>$I$39*$AI$39</f>
        <v>0</v>
      </c>
      <c r="AJ91" s="78">
        <f>$I$39*$AJ$39</f>
        <v>0</v>
      </c>
      <c r="AK91" s="78">
        <f>$I$39*$AK$39</f>
        <v>0</v>
      </c>
      <c r="AL91" s="78">
        <f>$I$39*$AL$39</f>
        <v>0</v>
      </c>
      <c r="AM91" s="78">
        <f>$I$39*$AM$39</f>
        <v>0</v>
      </c>
      <c r="AN91" s="78">
        <f>$I$39*$AN$39</f>
        <v>0</v>
      </c>
      <c r="AO91" s="78">
        <f>$I$39*$AO$39</f>
        <v>0</v>
      </c>
      <c r="AP91" s="78">
        <f>$I$39*$AP$39</f>
        <v>0</v>
      </c>
      <c r="AQ91" s="78">
        <f>$I$39*$AQ$39</f>
        <v>0</v>
      </c>
      <c r="AR91" s="78">
        <f>$I$39*$AR$39</f>
        <v>0</v>
      </c>
      <c r="AS91" s="78">
        <f>$I$39*$AS$39</f>
        <v>0</v>
      </c>
      <c r="AT91" s="78">
        <f>$I$39*$AT$39</f>
        <v>0</v>
      </c>
      <c r="AU91" s="78">
        <f>$I$39*$AU$39</f>
        <v>0</v>
      </c>
      <c r="AV91" s="78">
        <f>$I$39*$AV$39</f>
        <v>0</v>
      </c>
      <c r="AW91" s="78">
        <f>$I$39*$AW$39</f>
        <v>0</v>
      </c>
      <c r="AX91" s="78">
        <f>$I$39*$AX$39</f>
        <v>0</v>
      </c>
      <c r="AY91" s="78">
        <f>$I$39*$AY$39</f>
        <v>0</v>
      </c>
      <c r="AZ91" s="78">
        <f>$I$39*$AZ$39</f>
        <v>0</v>
      </c>
      <c r="BA91" s="78">
        <f>$I$39*$BA$39</f>
        <v>0</v>
      </c>
      <c r="BB91" s="78">
        <f>$I$39*$BB$39</f>
        <v>0</v>
      </c>
      <c r="BC91" s="78">
        <f>$I$39*$BC$39</f>
        <v>0</v>
      </c>
      <c r="BD91" s="78">
        <f>$I$39*$BD$39</f>
        <v>0</v>
      </c>
    </row>
    <row r="92" spans="1:56" ht="11.25" customHeight="1" x14ac:dyDescent="0.3">
      <c r="A92" s="9" t="s">
        <v>40</v>
      </c>
      <c r="B92" s="9" t="s">
        <v>741</v>
      </c>
      <c r="C92" s="9" t="s">
        <v>742</v>
      </c>
      <c r="D92" s="9" t="s">
        <v>765</v>
      </c>
      <c r="E92" s="9" t="s">
        <v>766</v>
      </c>
      <c r="F92" s="9" t="s">
        <v>767</v>
      </c>
      <c r="G92" s="9" t="s">
        <v>770</v>
      </c>
      <c r="L92" s="78">
        <f>$I$40*$L$40</f>
        <v>0</v>
      </c>
      <c r="M92" s="78">
        <f>$I$40*$M$40</f>
        <v>0</v>
      </c>
      <c r="N92" s="78">
        <f ca="1">$I$40*$N$40</f>
        <v>0</v>
      </c>
      <c r="O92" s="78">
        <f>$I$40*$O$40</f>
        <v>0</v>
      </c>
      <c r="P92" s="78">
        <f>$I$40*$P$40</f>
        <v>0</v>
      </c>
      <c r="Q92" s="78">
        <f>$I$40*$Q$40</f>
        <v>0</v>
      </c>
      <c r="R92" s="78">
        <f>$I$40*$R$40</f>
        <v>0</v>
      </c>
      <c r="S92" s="78">
        <f>$I$40*$S$40</f>
        <v>0</v>
      </c>
      <c r="T92" s="78">
        <f>$I$40*$T$40</f>
        <v>0</v>
      </c>
      <c r="U92" s="78">
        <f>$I$40*$U$40</f>
        <v>0</v>
      </c>
      <c r="V92" s="78">
        <f>$I$40*$V$40</f>
        <v>0</v>
      </c>
      <c r="W92" s="78">
        <f>$I$40*$W$40</f>
        <v>0</v>
      </c>
      <c r="X92" s="78">
        <f>$I$40*$X$40</f>
        <v>0</v>
      </c>
      <c r="Y92" s="78">
        <f>$I$40*$Y$40</f>
        <v>0</v>
      </c>
      <c r="Z92" s="78">
        <f>$I$40*$Z$40</f>
        <v>0</v>
      </c>
      <c r="AA92" s="78">
        <f>$I$40*$AA$40</f>
        <v>0</v>
      </c>
      <c r="AB92" s="78">
        <f ca="1">$I$40*$AB$40</f>
        <v>0</v>
      </c>
      <c r="AC92" s="78">
        <f ca="1">$I$40*$AC$40</f>
        <v>0</v>
      </c>
      <c r="AD92" s="78">
        <f>$I$40*$AD$40</f>
        <v>0</v>
      </c>
      <c r="AE92" s="78">
        <f>$I$40*$AE$40</f>
        <v>0</v>
      </c>
      <c r="AF92" s="78">
        <f ca="1">$I$40*$AF$40</f>
        <v>0</v>
      </c>
      <c r="AG92" s="78">
        <f ca="1">$I$40*$AG$40</f>
        <v>0</v>
      </c>
      <c r="AI92" s="78">
        <f>$I$40*$AI$40</f>
        <v>0</v>
      </c>
      <c r="AJ92" s="78">
        <f>$I$40*$AJ$40</f>
        <v>0</v>
      </c>
      <c r="AK92" s="78">
        <f>$I$40*$AK$40</f>
        <v>0</v>
      </c>
      <c r="AL92" s="78">
        <f>$I$40*$AL$40</f>
        <v>0</v>
      </c>
      <c r="AM92" s="78">
        <f>$I$40*$AM$40</f>
        <v>0</v>
      </c>
      <c r="AN92" s="78">
        <f>$I$40*$AN$40</f>
        <v>0</v>
      </c>
      <c r="AO92" s="78">
        <f>$I$40*$AO$40</f>
        <v>0</v>
      </c>
      <c r="AP92" s="78">
        <f>$I$40*$AP$40</f>
        <v>0</v>
      </c>
      <c r="AQ92" s="78">
        <f>$I$40*$AQ$40</f>
        <v>0</v>
      </c>
      <c r="AR92" s="78">
        <f>$I$40*$AR$40</f>
        <v>0</v>
      </c>
      <c r="AS92" s="78">
        <f>$I$40*$AS$40</f>
        <v>0</v>
      </c>
      <c r="AT92" s="78">
        <f>$I$40*$AT$40</f>
        <v>0</v>
      </c>
      <c r="AU92" s="78">
        <f>$I$40*$AU$40</f>
        <v>0</v>
      </c>
      <c r="AV92" s="78">
        <f>$I$40*$AV$40</f>
        <v>0</v>
      </c>
      <c r="AW92" s="78">
        <f>$I$40*$AW$40</f>
        <v>0</v>
      </c>
      <c r="AX92" s="78">
        <f>$I$40*$AX$40</f>
        <v>0</v>
      </c>
      <c r="AY92" s="78">
        <f>$I$40*$AY$40</f>
        <v>0</v>
      </c>
      <c r="AZ92" s="78">
        <f>$I$40*$AZ$40</f>
        <v>0</v>
      </c>
      <c r="BA92" s="78">
        <f>$I$40*$BA$40</f>
        <v>0</v>
      </c>
      <c r="BB92" s="78">
        <f>$I$40*$BB$40</f>
        <v>0</v>
      </c>
      <c r="BC92" s="78">
        <f>$I$40*$BC$40</f>
        <v>0</v>
      </c>
      <c r="BD92" s="78">
        <f>$I$40*$BD$40</f>
        <v>0</v>
      </c>
    </row>
    <row r="93" spans="1:56" ht="11.25" customHeight="1" x14ac:dyDescent="0.3">
      <c r="A93" s="9" t="s">
        <v>40</v>
      </c>
      <c r="B93" s="9" t="s">
        <v>749</v>
      </c>
      <c r="C93" s="9" t="s">
        <v>750</v>
      </c>
      <c r="D93" s="9" t="s">
        <v>771</v>
      </c>
      <c r="E93" s="9" t="s">
        <v>772</v>
      </c>
      <c r="F93" s="9" t="s">
        <v>773</v>
      </c>
      <c r="G93" s="9" t="s">
        <v>774</v>
      </c>
      <c r="L93" s="78">
        <f>$I$41*$L$41</f>
        <v>0</v>
      </c>
      <c r="M93" s="78">
        <f>$I$41*$M$41</f>
        <v>0</v>
      </c>
      <c r="N93" s="78">
        <f ca="1">$I$41*$N$41</f>
        <v>0</v>
      </c>
      <c r="O93" s="78">
        <f>$I$41*$O$41</f>
        <v>0</v>
      </c>
      <c r="P93" s="78">
        <f>$I$41*$P$41</f>
        <v>0</v>
      </c>
      <c r="Q93" s="78">
        <f>$I$41*$Q$41</f>
        <v>0</v>
      </c>
      <c r="R93" s="78">
        <f>$I$41*$R$41</f>
        <v>0</v>
      </c>
      <c r="S93" s="78">
        <f>$I$41*$S$41</f>
        <v>0</v>
      </c>
      <c r="T93" s="78">
        <f>$I$41*$T$41</f>
        <v>0</v>
      </c>
      <c r="U93" s="78">
        <f>$I$41*$U$41</f>
        <v>0</v>
      </c>
      <c r="V93" s="78">
        <f>$I$41*$V$41</f>
        <v>0</v>
      </c>
      <c r="W93" s="78">
        <f>$I$41*$W$41</f>
        <v>0</v>
      </c>
      <c r="X93" s="78">
        <f>$I$41*$X$41</f>
        <v>0</v>
      </c>
      <c r="Y93" s="78">
        <f>$I$41*$Y$41</f>
        <v>0</v>
      </c>
      <c r="Z93" s="78">
        <f>$I$41*$Z$41</f>
        <v>0</v>
      </c>
      <c r="AA93" s="78">
        <f>$I$41*$AA$41</f>
        <v>0</v>
      </c>
      <c r="AB93" s="78">
        <f ca="1">$I$41*$AB$41</f>
        <v>0</v>
      </c>
      <c r="AC93" s="78">
        <f ca="1">$I$41*$AC$41</f>
        <v>0</v>
      </c>
      <c r="AD93" s="78">
        <f>$I$41*$AD$41</f>
        <v>0</v>
      </c>
      <c r="AE93" s="78">
        <f>$I$41*$AE$41</f>
        <v>0</v>
      </c>
      <c r="AF93" s="78">
        <f ca="1">$I$41*$AF$41</f>
        <v>0</v>
      </c>
      <c r="AG93" s="78">
        <f ca="1">$I$41*$AG$41</f>
        <v>0</v>
      </c>
      <c r="AI93" s="78">
        <f>$I$41*$AI$41</f>
        <v>0</v>
      </c>
      <c r="AJ93" s="78">
        <f>$I$41*$AJ$41</f>
        <v>0</v>
      </c>
      <c r="AK93" s="78">
        <f>$I$41*$AK$41</f>
        <v>0</v>
      </c>
      <c r="AL93" s="78">
        <f>$I$41*$AL$41</f>
        <v>0</v>
      </c>
      <c r="AM93" s="78">
        <f>$I$41*$AM$41</f>
        <v>0</v>
      </c>
      <c r="AN93" s="78">
        <f>$I$41*$AN$41</f>
        <v>0</v>
      </c>
      <c r="AO93" s="78">
        <f>$I$41*$AO$41</f>
        <v>0</v>
      </c>
      <c r="AP93" s="78">
        <f>$I$41*$AP$41</f>
        <v>0</v>
      </c>
      <c r="AQ93" s="78">
        <f>$I$41*$AQ$41</f>
        <v>0</v>
      </c>
      <c r="AR93" s="78">
        <f>$I$41*$AR$41</f>
        <v>0</v>
      </c>
      <c r="AS93" s="78">
        <f>$I$41*$AS$41</f>
        <v>0</v>
      </c>
      <c r="AT93" s="78">
        <f>$I$41*$AT$41</f>
        <v>0</v>
      </c>
      <c r="AU93" s="78">
        <f>$I$41*$AU$41</f>
        <v>0</v>
      </c>
      <c r="AV93" s="78">
        <f>$I$41*$AV$41</f>
        <v>0</v>
      </c>
      <c r="AW93" s="78">
        <f>$I$41*$AW$41</f>
        <v>0</v>
      </c>
      <c r="AX93" s="78">
        <f>$I$41*$AX$41</f>
        <v>0</v>
      </c>
      <c r="AY93" s="78">
        <f>$I$41*$AY$41</f>
        <v>0</v>
      </c>
      <c r="AZ93" s="78">
        <f>$I$41*$AZ$41</f>
        <v>0</v>
      </c>
      <c r="BA93" s="78">
        <f>$I$41*$BA$41</f>
        <v>0</v>
      </c>
      <c r="BB93" s="78">
        <f>$I$41*$BB$41</f>
        <v>0</v>
      </c>
      <c r="BC93" s="78">
        <f>$I$41*$BC$41</f>
        <v>0</v>
      </c>
      <c r="BD93" s="78">
        <f>$I$41*$BD$41</f>
        <v>0</v>
      </c>
    </row>
    <row r="94" spans="1:56" ht="11.25" customHeight="1" x14ac:dyDescent="0.3">
      <c r="A94" s="9" t="s">
        <v>40</v>
      </c>
      <c r="B94" s="9" t="s">
        <v>775</v>
      </c>
      <c r="C94" s="9" t="s">
        <v>776</v>
      </c>
      <c r="D94" s="9" t="s">
        <v>777</v>
      </c>
      <c r="E94" s="9" t="s">
        <v>778</v>
      </c>
      <c r="F94" s="9" t="s">
        <v>779</v>
      </c>
      <c r="G94" s="9" t="s">
        <v>780</v>
      </c>
      <c r="L94" s="78">
        <f>$I$42*$L$42</f>
        <v>0</v>
      </c>
      <c r="M94" s="78">
        <f>$I$42*$M$42</f>
        <v>0</v>
      </c>
      <c r="N94" s="78">
        <f ca="1">$I$42*$N$42</f>
        <v>0</v>
      </c>
      <c r="O94" s="78">
        <f>$I$42*$O$42</f>
        <v>0</v>
      </c>
      <c r="P94" s="78">
        <f>$I$42*$P$42</f>
        <v>0</v>
      </c>
      <c r="Q94" s="78">
        <f>$I$42*$Q$42</f>
        <v>0</v>
      </c>
      <c r="R94" s="78">
        <f>$I$42*$R$42</f>
        <v>0</v>
      </c>
      <c r="S94" s="78">
        <f>$I$42*$S$42</f>
        <v>0</v>
      </c>
      <c r="T94" s="78">
        <f>$I$42*$T$42</f>
        <v>0</v>
      </c>
      <c r="U94" s="78">
        <f>$I$42*$U$42</f>
        <v>0</v>
      </c>
      <c r="V94" s="78">
        <f>$I$42*$V$42</f>
        <v>0</v>
      </c>
      <c r="W94" s="78">
        <f>$I$42*$W$42</f>
        <v>0</v>
      </c>
      <c r="X94" s="78">
        <f>$I$42*$X$42</f>
        <v>0</v>
      </c>
      <c r="Y94" s="78">
        <f>$I$42*$Y$42</f>
        <v>0</v>
      </c>
      <c r="Z94" s="78">
        <f>$I$42*$Z$42</f>
        <v>0</v>
      </c>
      <c r="AA94" s="78">
        <f>$I$42*$AA$42</f>
        <v>0</v>
      </c>
      <c r="AB94" s="78">
        <f ca="1">$I$42*$AB$42</f>
        <v>0</v>
      </c>
      <c r="AC94" s="78">
        <f ca="1">$I$42*$AC$42</f>
        <v>0</v>
      </c>
      <c r="AD94" s="78">
        <f>$I$42*$AD$42</f>
        <v>0</v>
      </c>
      <c r="AE94" s="78">
        <f>$I$42*$AE$42</f>
        <v>0</v>
      </c>
      <c r="AF94" s="78">
        <f ca="1">$I$42*$AF$42</f>
        <v>0</v>
      </c>
      <c r="AG94" s="78">
        <f ca="1">$I$42*$AG$42</f>
        <v>0</v>
      </c>
      <c r="AI94" s="78">
        <f>$I$42*$AI$42</f>
        <v>0</v>
      </c>
      <c r="AJ94" s="78">
        <f>$I$42*$AJ$42</f>
        <v>0</v>
      </c>
      <c r="AK94" s="78">
        <f>$I$42*$AK$42</f>
        <v>0</v>
      </c>
      <c r="AL94" s="78">
        <f>$I$42*$AL$42</f>
        <v>0</v>
      </c>
      <c r="AM94" s="78">
        <f>$I$42*$AM$42</f>
        <v>0</v>
      </c>
      <c r="AN94" s="78">
        <f>$I$42*$AN$42</f>
        <v>0</v>
      </c>
      <c r="AO94" s="78">
        <f>$I$42*$AO$42</f>
        <v>0</v>
      </c>
      <c r="AP94" s="78">
        <f>$I$42*$AP$42</f>
        <v>0</v>
      </c>
      <c r="AQ94" s="78">
        <f>$I$42*$AQ$42</f>
        <v>0</v>
      </c>
      <c r="AR94" s="78">
        <f>$I$42*$AR$42</f>
        <v>0</v>
      </c>
      <c r="AS94" s="78">
        <f>$I$42*$AS$42</f>
        <v>0</v>
      </c>
      <c r="AT94" s="78">
        <f>$I$42*$AT$42</f>
        <v>0</v>
      </c>
      <c r="AU94" s="78">
        <f>$I$42*$AU$42</f>
        <v>0</v>
      </c>
      <c r="AV94" s="78">
        <f>$I$42*$AV$42</f>
        <v>0</v>
      </c>
      <c r="AW94" s="78">
        <f>$I$42*$AW$42</f>
        <v>0</v>
      </c>
      <c r="AX94" s="78">
        <f>$I$42*$AX$42</f>
        <v>0</v>
      </c>
      <c r="AY94" s="78">
        <f>$I$42*$AY$42</f>
        <v>0</v>
      </c>
      <c r="AZ94" s="78">
        <f>$I$42*$AZ$42</f>
        <v>0</v>
      </c>
      <c r="BA94" s="78">
        <f>$I$42*$BA$42</f>
        <v>0</v>
      </c>
      <c r="BB94" s="78">
        <f>$I$42*$BB$42</f>
        <v>0</v>
      </c>
      <c r="BC94" s="78">
        <f>$I$42*$BC$42</f>
        <v>0</v>
      </c>
      <c r="BD94" s="78">
        <f>$I$42*$BD$42</f>
        <v>0</v>
      </c>
    </row>
    <row r="95" spans="1:56" ht="11.25" customHeight="1" x14ac:dyDescent="0.3">
      <c r="A95" s="9" t="s">
        <v>40</v>
      </c>
      <c r="B95" s="9" t="s">
        <v>775</v>
      </c>
      <c r="C95" s="9" t="s">
        <v>776</v>
      </c>
      <c r="D95" s="9" t="s">
        <v>781</v>
      </c>
      <c r="E95" s="9" t="s">
        <v>782</v>
      </c>
      <c r="F95" s="9" t="s">
        <v>783</v>
      </c>
      <c r="G95" s="9" t="s">
        <v>784</v>
      </c>
      <c r="L95" s="78">
        <f>$I$43*$L$43</f>
        <v>0</v>
      </c>
      <c r="M95" s="78">
        <f>$I$43*$M$43</f>
        <v>0</v>
      </c>
      <c r="N95" s="78">
        <f ca="1">$I$43*$N$43</f>
        <v>0</v>
      </c>
      <c r="O95" s="78">
        <f>$I$43*$O$43</f>
        <v>0</v>
      </c>
      <c r="P95" s="78">
        <f>$I$43*$P$43</f>
        <v>0</v>
      </c>
      <c r="Q95" s="78">
        <f>$I$43*$Q$43</f>
        <v>0</v>
      </c>
      <c r="R95" s="78">
        <f>$I$43*$R$43</f>
        <v>0</v>
      </c>
      <c r="S95" s="78">
        <f>$I$43*$S$43</f>
        <v>0</v>
      </c>
      <c r="T95" s="78">
        <f>$I$43*$T$43</f>
        <v>0</v>
      </c>
      <c r="U95" s="78">
        <f>$I$43*$U$43</f>
        <v>0</v>
      </c>
      <c r="V95" s="78">
        <f>$I$43*$V$43</f>
        <v>0</v>
      </c>
      <c r="W95" s="78">
        <f>$I$43*$W$43</f>
        <v>0</v>
      </c>
      <c r="X95" s="78">
        <f>$I$43*$X$43</f>
        <v>0</v>
      </c>
      <c r="Y95" s="78">
        <f>$I$43*$Y$43</f>
        <v>0</v>
      </c>
      <c r="Z95" s="78">
        <f>$I$43*$Z$43</f>
        <v>0</v>
      </c>
      <c r="AA95" s="78">
        <f>$I$43*$AA$43</f>
        <v>0</v>
      </c>
      <c r="AB95" s="78">
        <f ca="1">$I$43*$AB$43</f>
        <v>0</v>
      </c>
      <c r="AC95" s="78">
        <f ca="1">$I$43*$AC$43</f>
        <v>0</v>
      </c>
      <c r="AD95" s="78">
        <f>$I$43*$AD$43</f>
        <v>0</v>
      </c>
      <c r="AE95" s="78">
        <f>$I$43*$AE$43</f>
        <v>0</v>
      </c>
      <c r="AF95" s="78">
        <f ca="1">$I$43*$AF$43</f>
        <v>0</v>
      </c>
      <c r="AG95" s="78">
        <f ca="1">$I$43*$AG$43</f>
        <v>0</v>
      </c>
      <c r="AI95" s="78">
        <f>$I$43*$AI$43</f>
        <v>0</v>
      </c>
      <c r="AJ95" s="78">
        <f>$I$43*$AJ$43</f>
        <v>0</v>
      </c>
      <c r="AK95" s="78">
        <f>$I$43*$AK$43</f>
        <v>0</v>
      </c>
      <c r="AL95" s="78">
        <f>$I$43*$AL$43</f>
        <v>0</v>
      </c>
      <c r="AM95" s="78">
        <f>$I$43*$AM$43</f>
        <v>0</v>
      </c>
      <c r="AN95" s="78">
        <f>$I$43*$AN$43</f>
        <v>0</v>
      </c>
      <c r="AO95" s="78">
        <f>$I$43*$AO$43</f>
        <v>0</v>
      </c>
      <c r="AP95" s="78">
        <f>$I$43*$AP$43</f>
        <v>0</v>
      </c>
      <c r="AQ95" s="78">
        <f>$I$43*$AQ$43</f>
        <v>0</v>
      </c>
      <c r="AR95" s="78">
        <f>$I$43*$AR$43</f>
        <v>0</v>
      </c>
      <c r="AS95" s="78">
        <f>$I$43*$AS$43</f>
        <v>0</v>
      </c>
      <c r="AT95" s="78">
        <f>$I$43*$AT$43</f>
        <v>0</v>
      </c>
      <c r="AU95" s="78">
        <f>$I$43*$AU$43</f>
        <v>0</v>
      </c>
      <c r="AV95" s="78">
        <f>$I$43*$AV$43</f>
        <v>0</v>
      </c>
      <c r="AW95" s="78">
        <f>$I$43*$AW$43</f>
        <v>0</v>
      </c>
      <c r="AX95" s="78">
        <f>$I$43*$AX$43</f>
        <v>0</v>
      </c>
      <c r="AY95" s="78">
        <f>$I$43*$AY$43</f>
        <v>0</v>
      </c>
      <c r="AZ95" s="78">
        <f>$I$43*$AZ$43</f>
        <v>0</v>
      </c>
      <c r="BA95" s="78">
        <f>$I$43*$BA$43</f>
        <v>0</v>
      </c>
      <c r="BB95" s="78">
        <f>$I$43*$BB$43</f>
        <v>0</v>
      </c>
      <c r="BC95" s="78">
        <f>$I$43*$BC$43</f>
        <v>0</v>
      </c>
      <c r="BD95" s="78">
        <f>$I$43*$BD$43</f>
        <v>0</v>
      </c>
    </row>
    <row r="96" spans="1:56" ht="11.25" customHeight="1" x14ac:dyDescent="0.3">
      <c r="A96" s="9" t="s">
        <v>40</v>
      </c>
      <c r="B96" s="9" t="s">
        <v>775</v>
      </c>
      <c r="C96" s="9" t="s">
        <v>776</v>
      </c>
      <c r="D96" s="9" t="s">
        <v>785</v>
      </c>
      <c r="E96" s="9" t="s">
        <v>786</v>
      </c>
      <c r="F96" s="9" t="s">
        <v>787</v>
      </c>
      <c r="G96" s="9" t="s">
        <v>788</v>
      </c>
      <c r="L96" s="78">
        <f>$I$44*$L$44</f>
        <v>0</v>
      </c>
      <c r="M96" s="78">
        <f>$I$44*$M$44</f>
        <v>0</v>
      </c>
      <c r="N96" s="78">
        <f ca="1">$I$44*$N$44</f>
        <v>0</v>
      </c>
      <c r="O96" s="78">
        <f>$I$44*$O$44</f>
        <v>0</v>
      </c>
      <c r="P96" s="78">
        <f>$I$44*$P$44</f>
        <v>0</v>
      </c>
      <c r="Q96" s="78">
        <f>$I$44*$Q$44</f>
        <v>0</v>
      </c>
      <c r="R96" s="78">
        <f>$I$44*$R$44</f>
        <v>0</v>
      </c>
      <c r="S96" s="78">
        <f>$I$44*$S$44</f>
        <v>0</v>
      </c>
      <c r="T96" s="78">
        <f>$I$44*$T$44</f>
        <v>0</v>
      </c>
      <c r="U96" s="78">
        <f>$I$44*$U$44</f>
        <v>0</v>
      </c>
      <c r="V96" s="78">
        <f>$I$44*$V$44</f>
        <v>0</v>
      </c>
      <c r="W96" s="78">
        <f>$I$44*$W$44</f>
        <v>0</v>
      </c>
      <c r="X96" s="78">
        <f>$I$44*$X$44</f>
        <v>0</v>
      </c>
      <c r="Y96" s="78">
        <f>$I$44*$Y$44</f>
        <v>0</v>
      </c>
      <c r="Z96" s="78">
        <f>$I$44*$Z$44</f>
        <v>0</v>
      </c>
      <c r="AA96" s="78">
        <f>$I$44*$AA$44</f>
        <v>0</v>
      </c>
      <c r="AB96" s="78">
        <f ca="1">$I$44*$AB$44</f>
        <v>0</v>
      </c>
      <c r="AC96" s="78">
        <f ca="1">$I$44*$AC$44</f>
        <v>0</v>
      </c>
      <c r="AD96" s="78">
        <f>$I$44*$AD$44</f>
        <v>0</v>
      </c>
      <c r="AE96" s="78">
        <f>$I$44*$AE$44</f>
        <v>0</v>
      </c>
      <c r="AF96" s="78">
        <f ca="1">$I$44*$AF$44</f>
        <v>0</v>
      </c>
      <c r="AG96" s="78">
        <f ca="1">$I$44*$AG$44</f>
        <v>0</v>
      </c>
      <c r="AI96" s="78">
        <f>$I$44*$AI$44</f>
        <v>0</v>
      </c>
      <c r="AJ96" s="78">
        <f>$I$44*$AJ$44</f>
        <v>0</v>
      </c>
      <c r="AK96" s="78">
        <f>$I$44*$AK$44</f>
        <v>0</v>
      </c>
      <c r="AL96" s="78">
        <f>$I$44*$AL$44</f>
        <v>0</v>
      </c>
      <c r="AM96" s="78">
        <f>$I$44*$AM$44</f>
        <v>0</v>
      </c>
      <c r="AN96" s="78">
        <f>$I$44*$AN$44</f>
        <v>0</v>
      </c>
      <c r="AO96" s="78">
        <f>$I$44*$AO$44</f>
        <v>0</v>
      </c>
      <c r="AP96" s="78">
        <f>$I$44*$AP$44</f>
        <v>0</v>
      </c>
      <c r="AQ96" s="78">
        <f>$I$44*$AQ$44</f>
        <v>0</v>
      </c>
      <c r="AR96" s="78">
        <f>$I$44*$AR$44</f>
        <v>0</v>
      </c>
      <c r="AS96" s="78">
        <f>$I$44*$AS$44</f>
        <v>0</v>
      </c>
      <c r="AT96" s="78">
        <f>$I$44*$AT$44</f>
        <v>0</v>
      </c>
      <c r="AU96" s="78">
        <f>$I$44*$AU$44</f>
        <v>0</v>
      </c>
      <c r="AV96" s="78">
        <f>$I$44*$AV$44</f>
        <v>0</v>
      </c>
      <c r="AW96" s="78">
        <f>$I$44*$AW$44</f>
        <v>0</v>
      </c>
      <c r="AX96" s="78">
        <f>$I$44*$AX$44</f>
        <v>0</v>
      </c>
      <c r="AY96" s="78">
        <f>$I$44*$AY$44</f>
        <v>0</v>
      </c>
      <c r="AZ96" s="78">
        <f>$I$44*$AZ$44</f>
        <v>0</v>
      </c>
      <c r="BA96" s="78">
        <f>$I$44*$BA$44</f>
        <v>0</v>
      </c>
      <c r="BB96" s="78">
        <f>$I$44*$BB$44</f>
        <v>0</v>
      </c>
      <c r="BC96" s="78">
        <f>$I$44*$BC$44</f>
        <v>0</v>
      </c>
      <c r="BD96" s="78">
        <f>$I$44*$BD$44</f>
        <v>0</v>
      </c>
    </row>
    <row r="97" spans="1:56" ht="11.25" customHeight="1" x14ac:dyDescent="0.3">
      <c r="A97" s="9" t="s">
        <v>33</v>
      </c>
      <c r="B97" s="9" t="s">
        <v>789</v>
      </c>
      <c r="C97" s="9" t="s">
        <v>790</v>
      </c>
      <c r="D97" s="9" t="s">
        <v>791</v>
      </c>
      <c r="E97" s="9" t="s">
        <v>792</v>
      </c>
      <c r="F97" s="9" t="s">
        <v>793</v>
      </c>
      <c r="G97" s="9" t="s">
        <v>794</v>
      </c>
      <c r="L97" s="78">
        <f>$I$45*$L$45</f>
        <v>0</v>
      </c>
      <c r="M97" s="78">
        <f>$I$45*$M$45</f>
        <v>0</v>
      </c>
      <c r="N97" s="78">
        <f ca="1">$I$45*$N$45</f>
        <v>0</v>
      </c>
      <c r="O97" s="78">
        <f>$I$45*$O$45</f>
        <v>0</v>
      </c>
      <c r="P97" s="78">
        <f>$I$45*$P$45</f>
        <v>0</v>
      </c>
      <c r="Q97" s="78">
        <f>$I$45*$Q$45</f>
        <v>0</v>
      </c>
      <c r="R97" s="78">
        <f>$I$45*$R$45</f>
        <v>0</v>
      </c>
      <c r="S97" s="78">
        <f>$I$45*$S$45</f>
        <v>0</v>
      </c>
      <c r="T97" s="78">
        <f>$I$45*$T$45</f>
        <v>0</v>
      </c>
      <c r="U97" s="78">
        <f>$I$45*$U$45</f>
        <v>0</v>
      </c>
      <c r="V97" s="78">
        <f>$I$45*$V$45</f>
        <v>0</v>
      </c>
      <c r="W97" s="78">
        <f>$I$45*$W$45</f>
        <v>0</v>
      </c>
      <c r="X97" s="78">
        <f>$I$45*$X$45</f>
        <v>0</v>
      </c>
      <c r="Y97" s="78">
        <f>$I$45*$Y$45</f>
        <v>0</v>
      </c>
      <c r="Z97" s="78">
        <f>$I$45*$Z$45</f>
        <v>0</v>
      </c>
      <c r="AA97" s="78">
        <f>$I$45*$AA$45</f>
        <v>0</v>
      </c>
      <c r="AB97" s="78">
        <f ca="1">$I$45*$AB$45</f>
        <v>0</v>
      </c>
      <c r="AC97" s="78">
        <f ca="1">$I$45*$AC$45</f>
        <v>0</v>
      </c>
      <c r="AD97" s="78">
        <f>$I$45*$AD$45</f>
        <v>0</v>
      </c>
      <c r="AE97" s="78">
        <f>$I$45*$AE$45</f>
        <v>0</v>
      </c>
      <c r="AF97" s="78">
        <f ca="1">$I$45*$AF$45</f>
        <v>0</v>
      </c>
      <c r="AG97" s="78">
        <f ca="1">$I$45*$AG$45</f>
        <v>0</v>
      </c>
      <c r="AI97" s="78">
        <f>$I$45*$AI$45</f>
        <v>0</v>
      </c>
      <c r="AJ97" s="78">
        <f>$I$45*$AJ$45</f>
        <v>0</v>
      </c>
      <c r="AK97" s="78">
        <f>$I$45*$AK$45</f>
        <v>0</v>
      </c>
      <c r="AL97" s="78">
        <f>$I$45*$AL$45</f>
        <v>0</v>
      </c>
      <c r="AM97" s="78">
        <f>$I$45*$AM$45</f>
        <v>0</v>
      </c>
      <c r="AN97" s="78">
        <f>$I$45*$AN$45</f>
        <v>0</v>
      </c>
      <c r="AO97" s="78">
        <f>$I$45*$AO$45</f>
        <v>0</v>
      </c>
      <c r="AP97" s="78">
        <f>$I$45*$AP$45</f>
        <v>0</v>
      </c>
      <c r="AQ97" s="78">
        <f>$I$45*$AQ$45</f>
        <v>0</v>
      </c>
      <c r="AR97" s="78">
        <f>$I$45*$AR$45</f>
        <v>0</v>
      </c>
      <c r="AS97" s="78">
        <f>$I$45*$AS$45</f>
        <v>0</v>
      </c>
      <c r="AT97" s="78">
        <f>$I$45*$AT$45</f>
        <v>0</v>
      </c>
      <c r="AU97" s="78">
        <f>$I$45*$AU$45</f>
        <v>0</v>
      </c>
      <c r="AV97" s="78">
        <f>$I$45*$AV$45</f>
        <v>0</v>
      </c>
      <c r="AW97" s="78">
        <f>$I$45*$AW$45</f>
        <v>0</v>
      </c>
      <c r="AX97" s="78">
        <f>$I$45*$AX$45</f>
        <v>0</v>
      </c>
      <c r="AY97" s="78">
        <f>$I$45*$AY$45</f>
        <v>0</v>
      </c>
      <c r="AZ97" s="78">
        <f>$I$45*$AZ$45</f>
        <v>0</v>
      </c>
      <c r="BA97" s="78">
        <f>$I$45*$BA$45</f>
        <v>0</v>
      </c>
      <c r="BB97" s="78">
        <f>$I$45*$BB$45</f>
        <v>0</v>
      </c>
      <c r="BC97" s="78">
        <f>$I$45*$BC$45</f>
        <v>0</v>
      </c>
      <c r="BD97" s="78">
        <f>$I$45*$BD$45</f>
        <v>0</v>
      </c>
    </row>
    <row r="98" spans="1:56" ht="11.25" customHeight="1" x14ac:dyDescent="0.3">
      <c r="A98" s="9" t="s">
        <v>33</v>
      </c>
      <c r="B98" s="9" t="s">
        <v>789</v>
      </c>
      <c r="C98" s="9" t="s">
        <v>790</v>
      </c>
      <c r="D98" s="9" t="s">
        <v>791</v>
      </c>
      <c r="E98" s="9" t="s">
        <v>792</v>
      </c>
      <c r="F98" s="9" t="s">
        <v>793</v>
      </c>
      <c r="G98" s="9" t="s">
        <v>795</v>
      </c>
      <c r="L98" s="78">
        <f>$I$46*$L$46</f>
        <v>0</v>
      </c>
      <c r="M98" s="78">
        <f>$I$46*$M$46</f>
        <v>0</v>
      </c>
      <c r="N98" s="78">
        <f ca="1">$I$46*$N$46</f>
        <v>0</v>
      </c>
      <c r="O98" s="78">
        <f>$I$46*$O$46</f>
        <v>0</v>
      </c>
      <c r="P98" s="78">
        <f>$I$46*$P$46</f>
        <v>0</v>
      </c>
      <c r="Q98" s="78">
        <f>$I$46*$Q$46</f>
        <v>0</v>
      </c>
      <c r="R98" s="78">
        <f>$I$46*$R$46</f>
        <v>0</v>
      </c>
      <c r="S98" s="78">
        <f>$I$46*$S$46</f>
        <v>0</v>
      </c>
      <c r="T98" s="78">
        <f>$I$46*$T$46</f>
        <v>0</v>
      </c>
      <c r="U98" s="78">
        <f>$I$46*$U$46</f>
        <v>0</v>
      </c>
      <c r="V98" s="78">
        <f>$I$46*$V$46</f>
        <v>0</v>
      </c>
      <c r="W98" s="78">
        <f>$I$46*$W$46</f>
        <v>0</v>
      </c>
      <c r="X98" s="78">
        <f>$I$46*$X$46</f>
        <v>0</v>
      </c>
      <c r="Y98" s="78">
        <f>$I$46*$Y$46</f>
        <v>0</v>
      </c>
      <c r="Z98" s="78">
        <f>$I$46*$Z$46</f>
        <v>0</v>
      </c>
      <c r="AA98" s="78">
        <f>$I$46*$AA$46</f>
        <v>0</v>
      </c>
      <c r="AB98" s="78">
        <f ca="1">$I$46*$AB$46</f>
        <v>0</v>
      </c>
      <c r="AC98" s="78">
        <f ca="1">$I$46*$AC$46</f>
        <v>0</v>
      </c>
      <c r="AD98" s="78">
        <f>$I$46*$AD$46</f>
        <v>0</v>
      </c>
      <c r="AE98" s="78">
        <f>$I$46*$AE$46</f>
        <v>0</v>
      </c>
      <c r="AF98" s="78">
        <f ca="1">$I$46*$AF$46</f>
        <v>0</v>
      </c>
      <c r="AG98" s="78">
        <f ca="1">$I$46*$AG$46</f>
        <v>0</v>
      </c>
      <c r="AI98" s="78">
        <f>$I$46*$AI$46</f>
        <v>0</v>
      </c>
      <c r="AJ98" s="78">
        <f>$I$46*$AJ$46</f>
        <v>0</v>
      </c>
      <c r="AK98" s="78">
        <f>$I$46*$AK$46</f>
        <v>0</v>
      </c>
      <c r="AL98" s="78">
        <f>$I$46*$AL$46</f>
        <v>0</v>
      </c>
      <c r="AM98" s="78">
        <f>$I$46*$AM$46</f>
        <v>0</v>
      </c>
      <c r="AN98" s="78">
        <f>$I$46*$AN$46</f>
        <v>0</v>
      </c>
      <c r="AO98" s="78">
        <f>$I$46*$AO$46</f>
        <v>0</v>
      </c>
      <c r="AP98" s="78">
        <f>$I$46*$AP$46</f>
        <v>0</v>
      </c>
      <c r="AQ98" s="78">
        <f>$I$46*$AQ$46</f>
        <v>0</v>
      </c>
      <c r="AR98" s="78">
        <f>$I$46*$AR$46</f>
        <v>0</v>
      </c>
      <c r="AS98" s="78">
        <f>$I$46*$AS$46</f>
        <v>0</v>
      </c>
      <c r="AT98" s="78">
        <f>$I$46*$AT$46</f>
        <v>0</v>
      </c>
      <c r="AU98" s="78">
        <f>$I$46*$AU$46</f>
        <v>0</v>
      </c>
      <c r="AV98" s="78">
        <f>$I$46*$AV$46</f>
        <v>0</v>
      </c>
      <c r="AW98" s="78">
        <f>$I$46*$AW$46</f>
        <v>0</v>
      </c>
      <c r="AX98" s="78">
        <f>$I$46*$AX$46</f>
        <v>0</v>
      </c>
      <c r="AY98" s="78">
        <f>$I$46*$AY$46</f>
        <v>0</v>
      </c>
      <c r="AZ98" s="78">
        <f>$I$46*$AZ$46</f>
        <v>0</v>
      </c>
      <c r="BA98" s="78">
        <f>$I$46*$BA$46</f>
        <v>0</v>
      </c>
      <c r="BB98" s="78">
        <f>$I$46*$BB$46</f>
        <v>0</v>
      </c>
      <c r="BC98" s="78">
        <f>$I$46*$BC$46</f>
        <v>0</v>
      </c>
      <c r="BD98" s="78">
        <f>$I$46*$BD$46</f>
        <v>0</v>
      </c>
    </row>
    <row r="99" spans="1:56" ht="11.25" customHeight="1" x14ac:dyDescent="0.3">
      <c r="A99" s="9" t="s">
        <v>33</v>
      </c>
      <c r="B99" s="9" t="s">
        <v>789</v>
      </c>
      <c r="C99" s="9" t="s">
        <v>790</v>
      </c>
      <c r="D99" s="9" t="s">
        <v>791</v>
      </c>
      <c r="E99" s="9" t="s">
        <v>792</v>
      </c>
      <c r="F99" s="9" t="s">
        <v>793</v>
      </c>
      <c r="G99" s="9" t="s">
        <v>796</v>
      </c>
      <c r="L99" s="78">
        <f>$I$47*$L$47</f>
        <v>0</v>
      </c>
      <c r="M99" s="78">
        <f>$I$47*$M$47</f>
        <v>0</v>
      </c>
      <c r="N99" s="78">
        <f ca="1">$I$47*$N$47</f>
        <v>0</v>
      </c>
      <c r="O99" s="78">
        <f>$I$47*$O$47</f>
        <v>0</v>
      </c>
      <c r="P99" s="78">
        <f>$I$47*$P$47</f>
        <v>0</v>
      </c>
      <c r="Q99" s="78">
        <f>$I$47*$Q$47</f>
        <v>0</v>
      </c>
      <c r="R99" s="78">
        <f>$I$47*$R$47</f>
        <v>0</v>
      </c>
      <c r="S99" s="78">
        <f>$I$47*$S$47</f>
        <v>0</v>
      </c>
      <c r="T99" s="78">
        <f>$I$47*$T$47</f>
        <v>0</v>
      </c>
      <c r="U99" s="78">
        <f>$I$47*$U$47</f>
        <v>0</v>
      </c>
      <c r="V99" s="78">
        <f>$I$47*$V$47</f>
        <v>0</v>
      </c>
      <c r="W99" s="78">
        <f>$I$47*$W$47</f>
        <v>0</v>
      </c>
      <c r="X99" s="78">
        <f>$I$47*$X$47</f>
        <v>0</v>
      </c>
      <c r="Y99" s="78">
        <f>$I$47*$Y$47</f>
        <v>0</v>
      </c>
      <c r="Z99" s="78">
        <f>$I$47*$Z$47</f>
        <v>0</v>
      </c>
      <c r="AA99" s="78">
        <f>$I$47*$AA$47</f>
        <v>0</v>
      </c>
      <c r="AB99" s="78">
        <f ca="1">$I$47*$AB$47</f>
        <v>0</v>
      </c>
      <c r="AC99" s="78">
        <f ca="1">$I$47*$AC$47</f>
        <v>0</v>
      </c>
      <c r="AD99" s="78">
        <f>$I$47*$AD$47</f>
        <v>0</v>
      </c>
      <c r="AE99" s="78">
        <f>$I$47*$AE$47</f>
        <v>0</v>
      </c>
      <c r="AF99" s="78">
        <f ca="1">$I$47*$AF$47</f>
        <v>0</v>
      </c>
      <c r="AG99" s="78">
        <f ca="1">$I$47*$AG$47</f>
        <v>0</v>
      </c>
      <c r="AI99" s="78">
        <f>$I$47*$AI$47</f>
        <v>0</v>
      </c>
      <c r="AJ99" s="78">
        <f>$I$47*$AJ$47</f>
        <v>0</v>
      </c>
      <c r="AK99" s="78">
        <f>$I$47*$AK$47</f>
        <v>0</v>
      </c>
      <c r="AL99" s="78">
        <f>$I$47*$AL$47</f>
        <v>0</v>
      </c>
      <c r="AM99" s="78">
        <f>$I$47*$AM$47</f>
        <v>0</v>
      </c>
      <c r="AN99" s="78">
        <f>$I$47*$AN$47</f>
        <v>0</v>
      </c>
      <c r="AO99" s="78">
        <f>$I$47*$AO$47</f>
        <v>0</v>
      </c>
      <c r="AP99" s="78">
        <f>$I$47*$AP$47</f>
        <v>0</v>
      </c>
      <c r="AQ99" s="78">
        <f>$I$47*$AQ$47</f>
        <v>0</v>
      </c>
      <c r="AR99" s="78">
        <f>$I$47*$AR$47</f>
        <v>0</v>
      </c>
      <c r="AS99" s="78">
        <f>$I$47*$AS$47</f>
        <v>0</v>
      </c>
      <c r="AT99" s="78">
        <f>$I$47*$AT$47</f>
        <v>0</v>
      </c>
      <c r="AU99" s="78">
        <f>$I$47*$AU$47</f>
        <v>0</v>
      </c>
      <c r="AV99" s="78">
        <f>$I$47*$AV$47</f>
        <v>0</v>
      </c>
      <c r="AW99" s="78">
        <f>$I$47*$AW$47</f>
        <v>0</v>
      </c>
      <c r="AX99" s="78">
        <f>$I$47*$AX$47</f>
        <v>0</v>
      </c>
      <c r="AY99" s="78">
        <f>$I$47*$AY$47</f>
        <v>0</v>
      </c>
      <c r="AZ99" s="78">
        <f>$I$47*$AZ$47</f>
        <v>0</v>
      </c>
      <c r="BA99" s="78">
        <f>$I$47*$BA$47</f>
        <v>0</v>
      </c>
      <c r="BB99" s="78">
        <f>$I$47*$BB$47</f>
        <v>0</v>
      </c>
      <c r="BC99" s="78">
        <f>$I$47*$BC$47</f>
        <v>0</v>
      </c>
      <c r="BD99" s="78">
        <f>$I$47*$BD$47</f>
        <v>0</v>
      </c>
    </row>
    <row r="100" spans="1:56" ht="11.25" customHeight="1" x14ac:dyDescent="0.3">
      <c r="A100" s="9" t="s">
        <v>33</v>
      </c>
      <c r="B100" s="9" t="s">
        <v>797</v>
      </c>
      <c r="C100" s="9" t="s">
        <v>798</v>
      </c>
      <c r="D100" s="9" t="s">
        <v>799</v>
      </c>
      <c r="E100" s="9" t="s">
        <v>800</v>
      </c>
      <c r="F100" s="9" t="s">
        <v>801</v>
      </c>
      <c r="G100" s="9" t="s">
        <v>802</v>
      </c>
      <c r="L100" s="78">
        <f>$I$48*$L$48</f>
        <v>317442.07245453424</v>
      </c>
      <c r="M100" s="78">
        <f>$I$48*$M$48</f>
        <v>15493.349333897268</v>
      </c>
      <c r="N100" s="78">
        <f ca="1">$I$48*$N$48</f>
        <v>0</v>
      </c>
      <c r="O100" s="78">
        <f>$I$48*$O$48</f>
        <v>0</v>
      </c>
      <c r="P100" s="78">
        <f>$I$48*$P$48</f>
        <v>0</v>
      </c>
      <c r="Q100" s="78">
        <f>$I$48*$Q$48</f>
        <v>515013.35192580184</v>
      </c>
      <c r="R100" s="78">
        <f>$I$48*$R$48</f>
        <v>89369.773538014866</v>
      </c>
      <c r="S100" s="78">
        <f>$I$48*$S$48</f>
        <v>0</v>
      </c>
      <c r="T100" s="78">
        <f>$I$48*$T$48</f>
        <v>0</v>
      </c>
      <c r="U100" s="78">
        <f>$I$48*$U$48</f>
        <v>0</v>
      </c>
      <c r="V100" s="78">
        <f>$I$48*$V$48</f>
        <v>0</v>
      </c>
      <c r="W100" s="78">
        <f>$I$48*$W$48</f>
        <v>0</v>
      </c>
      <c r="X100" s="78">
        <f>$I$48*$X$48</f>
        <v>2515443.866479944</v>
      </c>
      <c r="Y100" s="78">
        <f>$I$48*$Y$48</f>
        <v>0</v>
      </c>
      <c r="Z100" s="78">
        <f>$I$48*$Z$48</f>
        <v>0</v>
      </c>
      <c r="AA100" s="78">
        <f>$I$48*$AA$48</f>
        <v>3201232.710041184</v>
      </c>
      <c r="AB100" s="78">
        <f ca="1">$I$48*$AB$48</f>
        <v>0</v>
      </c>
      <c r="AC100" s="78">
        <f ca="1">$I$48*$AC$48</f>
        <v>0</v>
      </c>
      <c r="AD100" s="78">
        <f>$I$48*$AD$48</f>
        <v>147274.7139016889</v>
      </c>
      <c r="AE100" s="78">
        <f>$I$48*$AE$48</f>
        <v>0</v>
      </c>
      <c r="AF100" s="78">
        <f ca="1">$I$48*$AF$48</f>
        <v>20113.479082503694</v>
      </c>
      <c r="AG100" s="78">
        <f ca="1">$I$48*$AG$48</f>
        <v>0</v>
      </c>
      <c r="AI100" s="78">
        <f>$I$48*$AI$48</f>
        <v>0</v>
      </c>
      <c r="AJ100" s="78">
        <f>$I$48*$AJ$48</f>
        <v>14435.625093575747</v>
      </c>
      <c r="AK100" s="78">
        <f>$I$48*$AK$48</f>
        <v>0</v>
      </c>
      <c r="AL100" s="78">
        <f>$I$48*$AL$48</f>
        <v>0</v>
      </c>
      <c r="AM100" s="78">
        <f>$I$48*$AM$48</f>
        <v>0</v>
      </c>
      <c r="AN100" s="78">
        <f>$I$48*$AN$48</f>
        <v>730355.97510752734</v>
      </c>
      <c r="AO100" s="78">
        <f>$I$48*$AO$48</f>
        <v>60837.694769267015</v>
      </c>
      <c r="AP100" s="78">
        <f>$I$48*$AP$48</f>
        <v>0</v>
      </c>
      <c r="AQ100" s="78">
        <f>$I$48*$AQ$48</f>
        <v>0</v>
      </c>
      <c r="AR100" s="78">
        <f>$I$48*$AR$48</f>
        <v>0</v>
      </c>
      <c r="AS100" s="78">
        <f>$I$48*$AS$48</f>
        <v>0</v>
      </c>
      <c r="AT100" s="78">
        <f>$I$48*$AT$48</f>
        <v>0</v>
      </c>
      <c r="AU100" s="78">
        <f>$I$48*$AU$48</f>
        <v>1336221.9126903925</v>
      </c>
      <c r="AV100" s="78">
        <f>$I$48*$AV$48</f>
        <v>0</v>
      </c>
      <c r="AW100" s="78">
        <f>$I$48*$AW$48</f>
        <v>0</v>
      </c>
      <c r="AX100" s="78">
        <f>$I$48*$AX$48</f>
        <v>2948222.4652015655</v>
      </c>
      <c r="AY100" s="78">
        <f>$I$48*$AY$48</f>
        <v>106403.64706559639</v>
      </c>
      <c r="AZ100" s="78">
        <f>$I$48*$AZ$48</f>
        <v>0</v>
      </c>
      <c r="BA100" s="78">
        <f>$I$48*$BA$48</f>
        <v>173048.13522692214</v>
      </c>
      <c r="BB100" s="78">
        <f>$I$48*$BB$48</f>
        <v>0</v>
      </c>
      <c r="BC100" s="78">
        <f>$I$48*$BC$48</f>
        <v>0</v>
      </c>
      <c r="BD100" s="78">
        <f>$I$48*$BD$48</f>
        <v>0</v>
      </c>
    </row>
    <row r="101" spans="1:56" ht="11.25" customHeight="1" x14ac:dyDescent="0.3">
      <c r="A101" s="9" t="s">
        <v>33</v>
      </c>
      <c r="B101" s="9" t="s">
        <v>803</v>
      </c>
      <c r="C101" s="9" t="s">
        <v>804</v>
      </c>
      <c r="D101" s="9" t="s">
        <v>805</v>
      </c>
      <c r="E101" s="9" t="s">
        <v>806</v>
      </c>
      <c r="F101" s="9" t="s">
        <v>807</v>
      </c>
      <c r="G101" s="9" t="s">
        <v>808</v>
      </c>
      <c r="L101" s="78">
        <f>$I$49*$L$49</f>
        <v>0</v>
      </c>
      <c r="M101" s="78">
        <f>$I$49*$M$49</f>
        <v>0</v>
      </c>
      <c r="N101" s="78">
        <f ca="1">$I$49*$N$49</f>
        <v>0</v>
      </c>
      <c r="O101" s="78">
        <f>$I$49*$O$49</f>
        <v>0</v>
      </c>
      <c r="P101" s="78">
        <f>$I$49*$P$49</f>
        <v>0</v>
      </c>
      <c r="Q101" s="78">
        <f>$I$49*$Q$49</f>
        <v>0</v>
      </c>
      <c r="R101" s="78">
        <f>$I$49*$R$49</f>
        <v>0</v>
      </c>
      <c r="S101" s="78">
        <f>$I$49*$S$49</f>
        <v>0</v>
      </c>
      <c r="T101" s="78">
        <f>$I$49*$T$49</f>
        <v>0</v>
      </c>
      <c r="U101" s="78">
        <f>$I$49*$U$49</f>
        <v>0</v>
      </c>
      <c r="V101" s="78">
        <f>$I$49*$V$49</f>
        <v>0</v>
      </c>
      <c r="W101" s="78">
        <f>$I$49*$W$49</f>
        <v>0</v>
      </c>
      <c r="X101" s="78">
        <f>$I$49*$X$49</f>
        <v>0</v>
      </c>
      <c r="Y101" s="78">
        <f>$I$49*$Y$49</f>
        <v>0</v>
      </c>
      <c r="Z101" s="78">
        <f>$I$49*$Z$49</f>
        <v>0</v>
      </c>
      <c r="AA101" s="78">
        <f>$I$49*$AA$49</f>
        <v>0</v>
      </c>
      <c r="AB101" s="78">
        <f ca="1">$I$49*$AB$49</f>
        <v>0</v>
      </c>
      <c r="AC101" s="78">
        <f ca="1">$I$49*$AC$49</f>
        <v>0</v>
      </c>
      <c r="AD101" s="78">
        <f>$I$49*$AD$49</f>
        <v>0</v>
      </c>
      <c r="AE101" s="78">
        <f>$I$49*$AE$49</f>
        <v>0</v>
      </c>
      <c r="AF101" s="78">
        <f ca="1">$I$49*$AF$49</f>
        <v>0</v>
      </c>
      <c r="AG101" s="78">
        <f ca="1">$I$49*$AG$49</f>
        <v>0</v>
      </c>
      <c r="AI101" s="78">
        <f>$I$49*$AI$49</f>
        <v>0</v>
      </c>
      <c r="AJ101" s="78">
        <f>$I$49*$AJ$49</f>
        <v>0</v>
      </c>
      <c r="AK101" s="78">
        <f>$I$49*$AK$49</f>
        <v>0</v>
      </c>
      <c r="AL101" s="78">
        <f>$I$49*$AL$49</f>
        <v>0</v>
      </c>
      <c r="AM101" s="78">
        <f>$I$49*$AM$49</f>
        <v>0</v>
      </c>
      <c r="AN101" s="78">
        <f>$I$49*$AN$49</f>
        <v>0</v>
      </c>
      <c r="AO101" s="78">
        <f>$I$49*$AO$49</f>
        <v>0</v>
      </c>
      <c r="AP101" s="78">
        <f>$I$49*$AP$49</f>
        <v>0</v>
      </c>
      <c r="AQ101" s="78">
        <f>$I$49*$AQ$49</f>
        <v>0</v>
      </c>
      <c r="AR101" s="78">
        <f>$I$49*$AR$49</f>
        <v>0</v>
      </c>
      <c r="AS101" s="78">
        <f>$I$49*$AS$49</f>
        <v>0</v>
      </c>
      <c r="AT101" s="78">
        <f>$I$49*$AT$49</f>
        <v>0</v>
      </c>
      <c r="AU101" s="78">
        <f>$I$49*$AU$49</f>
        <v>0</v>
      </c>
      <c r="AV101" s="78">
        <f>$I$49*$AV$49</f>
        <v>0</v>
      </c>
      <c r="AW101" s="78">
        <f>$I$49*$AW$49</f>
        <v>0</v>
      </c>
      <c r="AX101" s="78">
        <f>$I$49*$AX$49</f>
        <v>0</v>
      </c>
      <c r="AY101" s="78">
        <f>$I$49*$AY$49</f>
        <v>0</v>
      </c>
      <c r="AZ101" s="78">
        <f>$I$49*$AZ$49</f>
        <v>0</v>
      </c>
      <c r="BA101" s="78">
        <f>$I$49*$BA$49</f>
        <v>0</v>
      </c>
      <c r="BB101" s="78">
        <f>$I$49*$BB$49</f>
        <v>0</v>
      </c>
      <c r="BC101" s="78">
        <f>$I$49*$BC$49</f>
        <v>0</v>
      </c>
      <c r="BD101" s="78">
        <f>$I$49*$BD$49</f>
        <v>0</v>
      </c>
    </row>
    <row r="102" spans="1:56" ht="11.25" customHeight="1" x14ac:dyDescent="0.3">
      <c r="A102" s="9" t="s">
        <v>43</v>
      </c>
      <c r="B102" s="9" t="s">
        <v>809</v>
      </c>
      <c r="C102" s="9" t="s">
        <v>810</v>
      </c>
      <c r="D102" s="9" t="s">
        <v>811</v>
      </c>
      <c r="E102" s="9" t="s">
        <v>812</v>
      </c>
      <c r="F102" s="9" t="s">
        <v>813</v>
      </c>
      <c r="G102" s="9" t="s">
        <v>814</v>
      </c>
      <c r="L102" s="78">
        <f>$I$50*$L$50</f>
        <v>17187.184979384681</v>
      </c>
      <c r="M102" s="78">
        <f>$I$50*$M$50</f>
        <v>838.85245233225305</v>
      </c>
      <c r="N102" s="78">
        <f ca="1">$I$50*$N$50</f>
        <v>0</v>
      </c>
      <c r="O102" s="78">
        <f>$I$50*$O$50</f>
        <v>0</v>
      </c>
      <c r="P102" s="78">
        <f>$I$50*$P$50</f>
        <v>0</v>
      </c>
      <c r="Q102" s="78">
        <f>$I$50*$Q$50</f>
        <v>27884.23625752845</v>
      </c>
      <c r="R102" s="78">
        <f>$I$50*$R$50</f>
        <v>4838.7248025655954</v>
      </c>
      <c r="S102" s="78">
        <f>$I$50*$S$50</f>
        <v>0</v>
      </c>
      <c r="T102" s="78">
        <f>$I$50*$T$50</f>
        <v>0</v>
      </c>
      <c r="U102" s="78">
        <f>$I$50*$U$50</f>
        <v>0</v>
      </c>
      <c r="V102" s="78">
        <f>$I$50*$V$50</f>
        <v>0</v>
      </c>
      <c r="W102" s="78">
        <f>$I$50*$W$50</f>
        <v>0</v>
      </c>
      <c r="X102" s="78">
        <f>$I$50*$X$50</f>
        <v>136193.03422561148</v>
      </c>
      <c r="Y102" s="78">
        <f>$I$50*$Y$50</f>
        <v>0</v>
      </c>
      <c r="Z102" s="78">
        <f>$I$50*$Z$50</f>
        <v>0</v>
      </c>
      <c r="AA102" s="78">
        <f>$I$50*$AA$50</f>
        <v>173323.5242704479</v>
      </c>
      <c r="AB102" s="78">
        <f ca="1">$I$50*$AB$50</f>
        <v>0</v>
      </c>
      <c r="AC102" s="78">
        <f ca="1">$I$50*$AC$50</f>
        <v>0</v>
      </c>
      <c r="AD102" s="78">
        <f>$I$50*$AD$50</f>
        <v>7973.8571861069904</v>
      </c>
      <c r="AE102" s="78">
        <f>$I$50*$AE$50</f>
        <v>0</v>
      </c>
      <c r="AF102" s="78">
        <f ca="1">$I$50*$AF$50</f>
        <v>1088.9989562410244</v>
      </c>
      <c r="AG102" s="78">
        <f ca="1">$I$50*$AG$50</f>
        <v>0</v>
      </c>
      <c r="AI102" s="78">
        <f>$I$50*$AI$50</f>
        <v>0</v>
      </c>
      <c r="AJ102" s="78">
        <f>$I$50*$AJ$50</f>
        <v>781.58435918058524</v>
      </c>
      <c r="AK102" s="78">
        <f>$I$50*$AK$50</f>
        <v>0</v>
      </c>
      <c r="AL102" s="78">
        <f>$I$50*$AL$50</f>
        <v>0</v>
      </c>
      <c r="AM102" s="78">
        <f>$I$50*$AM$50</f>
        <v>0</v>
      </c>
      <c r="AN102" s="78">
        <f>$I$50*$AN$50</f>
        <v>39543.476855197805</v>
      </c>
      <c r="AO102" s="78">
        <f>$I$50*$AO$50</f>
        <v>3293.9197556067393</v>
      </c>
      <c r="AP102" s="78">
        <f>$I$50*$AP$50</f>
        <v>0</v>
      </c>
      <c r="AQ102" s="78">
        <f>$I$50*$AQ$50</f>
        <v>0</v>
      </c>
      <c r="AR102" s="78">
        <f>$I$50*$AR$50</f>
        <v>0</v>
      </c>
      <c r="AS102" s="78">
        <f>$I$50*$AS$50</f>
        <v>0</v>
      </c>
      <c r="AT102" s="78">
        <f>$I$50*$AT$50</f>
        <v>0</v>
      </c>
      <c r="AU102" s="78">
        <f>$I$50*$AU$50</f>
        <v>72346.721432793711</v>
      </c>
      <c r="AV102" s="78">
        <f>$I$50*$AV$50</f>
        <v>0</v>
      </c>
      <c r="AW102" s="78">
        <f>$I$50*$AW$50</f>
        <v>0</v>
      </c>
      <c r="AX102" s="78">
        <f>$I$50*$AX$50</f>
        <v>159624.85526254366</v>
      </c>
      <c r="AY102" s="78">
        <f>$I$50*$AY$50</f>
        <v>5760.9854625035296</v>
      </c>
      <c r="AZ102" s="78">
        <f>$I$50*$AZ$50</f>
        <v>0</v>
      </c>
      <c r="BA102" s="78">
        <f>$I$50*$BA$50</f>
        <v>9369.3009483129263</v>
      </c>
      <c r="BB102" s="78">
        <f>$I$50*$BB$50</f>
        <v>0</v>
      </c>
      <c r="BC102" s="78">
        <f>$I$50*$BC$50</f>
        <v>0</v>
      </c>
      <c r="BD102" s="78">
        <f>$I$50*$BD$50</f>
        <v>0</v>
      </c>
    </row>
    <row r="103" spans="1:56" ht="11.25" customHeight="1" x14ac:dyDescent="0.3">
      <c r="A103" s="9" t="s">
        <v>43</v>
      </c>
      <c r="B103" s="9" t="s">
        <v>809</v>
      </c>
      <c r="C103" s="9" t="s">
        <v>810</v>
      </c>
      <c r="D103" s="9" t="s">
        <v>815</v>
      </c>
      <c r="E103" s="9" t="s">
        <v>816</v>
      </c>
      <c r="F103" s="9" t="s">
        <v>817</v>
      </c>
      <c r="G103" s="9" t="s">
        <v>818</v>
      </c>
      <c r="L103" s="78">
        <f>$I$51*$L$51</f>
        <v>0</v>
      </c>
      <c r="M103" s="78">
        <f>$I$51*$M$51</f>
        <v>0</v>
      </c>
      <c r="N103" s="78">
        <f ca="1">$I$51*$N$51</f>
        <v>0</v>
      </c>
      <c r="O103" s="78">
        <f>$I$51*$O$51</f>
        <v>0</v>
      </c>
      <c r="P103" s="78">
        <f>$I$51*$P$51</f>
        <v>0</v>
      </c>
      <c r="Q103" s="78">
        <f>$I$51*$Q$51</f>
        <v>0</v>
      </c>
      <c r="R103" s="78">
        <f>$I$51*$R$51</f>
        <v>0</v>
      </c>
      <c r="S103" s="78">
        <f>$I$51*$S$51</f>
        <v>0</v>
      </c>
      <c r="T103" s="78">
        <f>$I$51*$T$51</f>
        <v>0</v>
      </c>
      <c r="U103" s="78">
        <f>$I$51*$U$51</f>
        <v>0</v>
      </c>
      <c r="V103" s="78">
        <f>$I$51*$V$51</f>
        <v>0</v>
      </c>
      <c r="W103" s="78">
        <f>$I$51*$W$51</f>
        <v>0</v>
      </c>
      <c r="X103" s="78">
        <f>$I$51*$X$51</f>
        <v>0</v>
      </c>
      <c r="Y103" s="78">
        <f>$I$51*$Y$51</f>
        <v>0</v>
      </c>
      <c r="Z103" s="78">
        <f>$I$51*$Z$51</f>
        <v>0</v>
      </c>
      <c r="AA103" s="78">
        <f>$I$51*$AA$51</f>
        <v>0</v>
      </c>
      <c r="AB103" s="78">
        <f ca="1">$I$51*$AB$51</f>
        <v>0</v>
      </c>
      <c r="AC103" s="78">
        <f ca="1">$I$51*$AC$51</f>
        <v>0</v>
      </c>
      <c r="AD103" s="78">
        <f>$I$51*$AD$51</f>
        <v>0</v>
      </c>
      <c r="AE103" s="78">
        <f>$I$51*$AE$51</f>
        <v>0</v>
      </c>
      <c r="AF103" s="78">
        <f ca="1">$I$51*$AF$51</f>
        <v>0</v>
      </c>
      <c r="AG103" s="78">
        <f ca="1">$I$51*$AG$51</f>
        <v>0</v>
      </c>
      <c r="AI103" s="78">
        <f>$I$51*$AI$51</f>
        <v>0</v>
      </c>
      <c r="AJ103" s="78">
        <f>$I$51*$AJ$51</f>
        <v>0</v>
      </c>
      <c r="AK103" s="78">
        <f>$I$51*$AK$51</f>
        <v>0</v>
      </c>
      <c r="AL103" s="78">
        <f>$I$51*$AL$51</f>
        <v>0</v>
      </c>
      <c r="AM103" s="78">
        <f>$I$51*$AM$51</f>
        <v>0</v>
      </c>
      <c r="AN103" s="78">
        <f>$I$51*$AN$51</f>
        <v>0</v>
      </c>
      <c r="AO103" s="78">
        <f>$I$51*$AO$51</f>
        <v>0</v>
      </c>
      <c r="AP103" s="78">
        <f>$I$51*$AP$51</f>
        <v>0</v>
      </c>
      <c r="AQ103" s="78">
        <f>$I$51*$AQ$51</f>
        <v>0</v>
      </c>
      <c r="AR103" s="78">
        <f>$I$51*$AR$51</f>
        <v>0</v>
      </c>
      <c r="AS103" s="78">
        <f>$I$51*$AS$51</f>
        <v>0</v>
      </c>
      <c r="AT103" s="78">
        <f>$I$51*$AT$51</f>
        <v>0</v>
      </c>
      <c r="AU103" s="78">
        <f>$I$51*$AU$51</f>
        <v>0</v>
      </c>
      <c r="AV103" s="78">
        <f>$I$51*$AV$51</f>
        <v>0</v>
      </c>
      <c r="AW103" s="78">
        <f>$I$51*$AW$51</f>
        <v>0</v>
      </c>
      <c r="AX103" s="78">
        <f>$I$51*$AX$51</f>
        <v>0</v>
      </c>
      <c r="AY103" s="78">
        <f>$I$51*$AY$51</f>
        <v>0</v>
      </c>
      <c r="AZ103" s="78">
        <f>$I$51*$AZ$51</f>
        <v>0</v>
      </c>
      <c r="BA103" s="78">
        <f>$I$51*$BA$51</f>
        <v>0</v>
      </c>
      <c r="BB103" s="78">
        <f>$I$51*$BB$51</f>
        <v>0</v>
      </c>
      <c r="BC103" s="78">
        <f>$I$51*$BC$51</f>
        <v>0</v>
      </c>
      <c r="BD103" s="78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DEEA-8192-44CF-864D-8866AF279E6D}">
  <dimension ref="A1:AF83"/>
  <sheetViews>
    <sheetView showGridLines="0" topLeftCell="I17" workbookViewId="0">
      <selection activeCell="V42" sqref="V42"/>
    </sheetView>
  </sheetViews>
  <sheetFormatPr defaultColWidth="9.109375" defaultRowHeight="11.25" customHeight="1" x14ac:dyDescent="0.3"/>
  <cols>
    <col min="1" max="1" width="9.33203125" style="9" bestFit="1" customWidth="1"/>
    <col min="2" max="2" width="29" style="9" bestFit="1" customWidth="1"/>
    <col min="3" max="3" width="38.6640625" style="9" bestFit="1" customWidth="1"/>
    <col min="4" max="4" width="61.6640625" style="9" bestFit="1" customWidth="1"/>
    <col min="5" max="5" width="71.44140625" style="9" bestFit="1" customWidth="1"/>
    <col min="6" max="6" width="81" style="9" bestFit="1" customWidth="1"/>
    <col min="7" max="7" width="81.8867187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2" width="4.109375" style="9" bestFit="1" customWidth="1"/>
    <col min="13" max="13" width="7.109375" style="9" bestFit="1" customWidth="1"/>
    <col min="14" max="14" width="6" style="9" bestFit="1" customWidth="1"/>
    <col min="15" max="15" width="11.109375" style="9" bestFit="1" customWidth="1"/>
    <col min="16" max="16" width="15" style="9" bestFit="1" customWidth="1"/>
    <col min="17" max="17" width="6" style="9" bestFit="1" customWidth="1"/>
    <col min="18" max="18" width="10.44140625" style="9" bestFit="1" customWidth="1"/>
    <col min="19" max="19" width="7" style="9" bestFit="1" customWidth="1"/>
    <col min="20" max="20" width="11.109375" style="9" bestFit="1" customWidth="1"/>
    <col min="21" max="21" width="11" style="9" bestFit="1" customWidth="1"/>
    <col min="22" max="22" width="9.109375" style="9"/>
    <col min="23" max="23" width="4.109375" style="9" bestFit="1" customWidth="1"/>
    <col min="24" max="24" width="7.109375" style="9" bestFit="1" customWidth="1"/>
    <col min="25" max="25" width="6" style="9" bestFit="1" customWidth="1"/>
    <col min="26" max="26" width="11.109375" style="9" bestFit="1" customWidth="1"/>
    <col min="27" max="27" width="15" style="9" bestFit="1" customWidth="1"/>
    <col min="28" max="28" width="6" style="9" bestFit="1" customWidth="1"/>
    <col min="29" max="29" width="10.44140625" style="9" bestFit="1" customWidth="1"/>
    <col min="30" max="30" width="7" style="9" bestFit="1" customWidth="1"/>
    <col min="31" max="31" width="11.109375" style="9" bestFit="1" customWidth="1"/>
    <col min="32" max="32" width="11" style="9" bestFit="1" customWidth="1"/>
    <col min="33" max="16384" width="9.109375" style="9"/>
  </cols>
  <sheetData>
    <row r="1" spans="1:32" ht="11.25" customHeight="1" x14ac:dyDescent="0.3">
      <c r="A1" s="130" t="s">
        <v>57</v>
      </c>
      <c r="B1" s="130" t="s">
        <v>58</v>
      </c>
      <c r="C1" s="130" t="s">
        <v>59</v>
      </c>
      <c r="D1" s="130" t="s">
        <v>60</v>
      </c>
      <c r="E1" s="130" t="s">
        <v>61</v>
      </c>
      <c r="F1" s="130" t="s">
        <v>15</v>
      </c>
      <c r="G1" s="130" t="s">
        <v>63</v>
      </c>
      <c r="H1" s="130" t="s">
        <v>64</v>
      </c>
      <c r="I1" s="130" t="s">
        <v>447</v>
      </c>
      <c r="J1" s="115"/>
      <c r="L1" s="131" t="s">
        <v>819</v>
      </c>
      <c r="M1" s="131"/>
      <c r="N1" s="131"/>
      <c r="O1" s="131"/>
      <c r="P1" s="131"/>
      <c r="Q1" s="131"/>
      <c r="R1" s="131"/>
      <c r="S1" s="131"/>
      <c r="T1" s="131"/>
      <c r="U1" s="131"/>
      <c r="W1" s="131" t="s">
        <v>820</v>
      </c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5"/>
      <c r="L2" s="131" t="s">
        <v>375</v>
      </c>
      <c r="M2" s="131"/>
      <c r="N2" s="131"/>
      <c r="O2" s="131"/>
      <c r="P2" s="131"/>
      <c r="Q2" s="131"/>
      <c r="R2" s="131"/>
      <c r="S2" s="131"/>
      <c r="T2" s="131"/>
      <c r="U2" s="131"/>
      <c r="W2" s="131" t="s">
        <v>375</v>
      </c>
      <c r="X2" s="131"/>
      <c r="Y2" s="131"/>
      <c r="Z2" s="131"/>
      <c r="AA2" s="131"/>
      <c r="AB2" s="131"/>
      <c r="AC2" s="131"/>
      <c r="AD2" s="131"/>
      <c r="AE2" s="131"/>
      <c r="AF2" s="131"/>
    </row>
    <row r="3" spans="1:32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5"/>
      <c r="L3" s="131" t="s">
        <v>348</v>
      </c>
      <c r="M3" s="131"/>
      <c r="N3" s="131"/>
      <c r="O3" s="131"/>
      <c r="P3" s="82" t="s">
        <v>378</v>
      </c>
      <c r="Q3" s="131" t="s">
        <v>357</v>
      </c>
      <c r="R3" s="131"/>
      <c r="S3" s="131"/>
      <c r="T3" s="82" t="s">
        <v>367</v>
      </c>
      <c r="U3" s="82" t="s">
        <v>370</v>
      </c>
      <c r="W3" s="131" t="s">
        <v>348</v>
      </c>
      <c r="X3" s="131"/>
      <c r="Y3" s="131"/>
      <c r="Z3" s="131"/>
      <c r="AA3" s="82" t="s">
        <v>378</v>
      </c>
      <c r="AB3" s="131" t="s">
        <v>357</v>
      </c>
      <c r="AC3" s="131"/>
      <c r="AD3" s="131"/>
      <c r="AE3" s="82" t="s">
        <v>367</v>
      </c>
      <c r="AF3" s="82" t="s">
        <v>370</v>
      </c>
    </row>
    <row r="4" spans="1:32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5"/>
      <c r="L4" s="82" t="s">
        <v>350</v>
      </c>
      <c r="M4" s="82" t="s">
        <v>376</v>
      </c>
      <c r="N4" s="82" t="s">
        <v>377</v>
      </c>
      <c r="O4" s="82" t="s">
        <v>435</v>
      </c>
      <c r="P4" s="82" t="s">
        <v>379</v>
      </c>
      <c r="Q4" s="82" t="s">
        <v>380</v>
      </c>
      <c r="R4" s="82" t="s">
        <v>381</v>
      </c>
      <c r="S4" s="82" t="s">
        <v>382</v>
      </c>
      <c r="T4" s="82" t="s">
        <v>368</v>
      </c>
      <c r="U4" s="82" t="s">
        <v>383</v>
      </c>
      <c r="W4" s="82" t="s">
        <v>350</v>
      </c>
      <c r="X4" s="82" t="s">
        <v>376</v>
      </c>
      <c r="Y4" s="82" t="s">
        <v>377</v>
      </c>
      <c r="Z4" s="82" t="s">
        <v>435</v>
      </c>
      <c r="AA4" s="82" t="s">
        <v>379</v>
      </c>
      <c r="AB4" s="82" t="s">
        <v>380</v>
      </c>
      <c r="AC4" s="82" t="s">
        <v>381</v>
      </c>
      <c r="AD4" s="82" t="s">
        <v>382</v>
      </c>
      <c r="AE4" s="82" t="s">
        <v>368</v>
      </c>
      <c r="AF4" s="82" t="s">
        <v>383</v>
      </c>
    </row>
    <row r="5" spans="1:32" ht="11.25" customHeight="1" x14ac:dyDescent="0.3">
      <c r="A5" s="129" t="s">
        <v>36</v>
      </c>
      <c r="B5" s="129" t="s">
        <v>66</v>
      </c>
      <c r="C5" s="129" t="s">
        <v>25</v>
      </c>
      <c r="D5" s="129" t="s">
        <v>25</v>
      </c>
      <c r="E5" s="129" t="s">
        <v>25</v>
      </c>
      <c r="F5" s="129" t="s">
        <v>25</v>
      </c>
      <c r="G5" s="32" t="s">
        <v>68</v>
      </c>
      <c r="H5" s="32" t="s">
        <v>67</v>
      </c>
      <c r="I5" s="32">
        <f>'MERCADO TE'!$U$2</f>
        <v>149.95200000000003</v>
      </c>
      <c r="J5" s="17"/>
      <c r="L5" s="30">
        <f>('TE BE'!$L$5+'TE BF'!$L$5+'TE CVA'!$L$5)*1</f>
        <v>0</v>
      </c>
      <c r="M5" s="30">
        <f>('TE BE'!$M$5+'TE BF'!$M$5+'TE CVA'!$M$5)*1</f>
        <v>0</v>
      </c>
      <c r="N5" s="30">
        <f>('TE BE'!$N$5+'TE BF'!$N$5+'TE CVA'!$N$5)*1</f>
        <v>0</v>
      </c>
      <c r="O5" s="30">
        <f>('TE BE'!$O$5+'TE BF'!$O$5+'TE CVA'!$O$5)*1</f>
        <v>0</v>
      </c>
      <c r="P5" s="30">
        <f>('TE BE'!$Q$5+'TE BF'!$Q$5+'TE CVA'!$Q$5)*1</f>
        <v>225.7947898398177</v>
      </c>
      <c r="Q5" s="30">
        <f>('TE BE'!$S$5+'TE BF'!$S$5+'TE CVA'!$S$5)*1</f>
        <v>0</v>
      </c>
      <c r="R5" s="30">
        <f>('TE BE'!$T$5+'TE BF'!$T$5+'TE CVA'!$T$5)*1</f>
        <v>0</v>
      </c>
      <c r="S5" s="30">
        <f>('TE BE'!$U$5+'TE BF'!$U$5+'TE CVA'!$U$5)*1</f>
        <v>0</v>
      </c>
      <c r="T5" s="30">
        <f>('TE BE'!$W$5+'TE BF'!$W$5+'TE CVA'!$W$5)*1</f>
        <v>0</v>
      </c>
      <c r="U5" s="30">
        <f>('TE BE'!$Y$5+'TE BF'!$Y$5+'TE CVA'!$Y$5)*1</f>
        <v>0</v>
      </c>
      <c r="W5" s="30">
        <v>0</v>
      </c>
      <c r="X5" s="30">
        <v>0</v>
      </c>
      <c r="Y5" s="30">
        <v>0</v>
      </c>
      <c r="Z5" s="30">
        <v>0</v>
      </c>
      <c r="AA5" s="30">
        <v>206.23426994657001</v>
      </c>
      <c r="AB5" s="30">
        <v>0</v>
      </c>
      <c r="AC5" s="30">
        <v>0</v>
      </c>
      <c r="AD5" s="30">
        <v>0</v>
      </c>
      <c r="AE5" s="30">
        <v>-4.4993465765033598</v>
      </c>
      <c r="AF5" s="30">
        <v>0</v>
      </c>
    </row>
    <row r="6" spans="1:32" ht="11.25" customHeight="1" x14ac:dyDescent="0.3">
      <c r="A6" s="129"/>
      <c r="B6" s="129"/>
      <c r="C6" s="129"/>
      <c r="D6" s="129"/>
      <c r="E6" s="129"/>
      <c r="F6" s="129"/>
      <c r="G6" s="32" t="s">
        <v>69</v>
      </c>
      <c r="H6" s="32" t="s">
        <v>67</v>
      </c>
      <c r="I6" s="32">
        <f>'MERCADO TE'!$U$3</f>
        <v>2536.7999999999997</v>
      </c>
      <c r="J6" s="17"/>
      <c r="L6" s="30">
        <f>('TE BE'!$L$6+'TE BF'!$L$6+'TE CVA'!$L$6)*1</f>
        <v>0</v>
      </c>
      <c r="M6" s="30">
        <f>('TE BE'!$M$6+'TE BF'!$M$6+'TE CVA'!$M$6)*1</f>
        <v>0</v>
      </c>
      <c r="N6" s="30">
        <f>('TE BE'!$N$6+'TE BF'!$N$6+'TE CVA'!$N$6)*1</f>
        <v>0</v>
      </c>
      <c r="O6" s="30">
        <f>('TE BE'!$O$6+'TE BF'!$O$6+'TE CVA'!$O$6)*1</f>
        <v>0</v>
      </c>
      <c r="P6" s="30">
        <f>('TE BE'!$Q$6+'TE BF'!$Q$6+'TE CVA'!$Q$6)*1</f>
        <v>225.7947898398177</v>
      </c>
      <c r="Q6" s="30">
        <f>('TE BE'!$S$6+'TE BF'!$S$6+'TE CVA'!$S$6)*1</f>
        <v>0</v>
      </c>
      <c r="R6" s="30">
        <f>('TE BE'!$T$6+'TE BF'!$T$6+'TE CVA'!$T$6)*1</f>
        <v>0</v>
      </c>
      <c r="S6" s="30">
        <f>('TE BE'!$U$6+'TE BF'!$U$6+'TE CVA'!$U$6)*1</f>
        <v>0</v>
      </c>
      <c r="T6" s="30">
        <f>('TE BE'!$W$6+'TE BF'!$W$6+'TE CVA'!$W$6)*1</f>
        <v>0</v>
      </c>
      <c r="U6" s="30">
        <f>('TE BE'!$Y$6+'TE BF'!$Y$6+'TE CVA'!$Y$6)*1</f>
        <v>0</v>
      </c>
      <c r="W6" s="30">
        <v>0</v>
      </c>
      <c r="X6" s="30">
        <v>0</v>
      </c>
      <c r="Y6" s="30">
        <v>0</v>
      </c>
      <c r="Z6" s="30">
        <v>0</v>
      </c>
      <c r="AA6" s="30">
        <v>206.23426994657001</v>
      </c>
      <c r="AB6" s="30">
        <v>0</v>
      </c>
      <c r="AC6" s="30">
        <v>0</v>
      </c>
      <c r="AD6" s="30">
        <v>0</v>
      </c>
      <c r="AE6" s="30">
        <v>-4.4993465765033598</v>
      </c>
      <c r="AF6" s="30">
        <v>0</v>
      </c>
    </row>
    <row r="7" spans="1:32" ht="11.25" customHeight="1" x14ac:dyDescent="0.3">
      <c r="A7" s="129" t="s">
        <v>22</v>
      </c>
      <c r="B7" s="129" t="s">
        <v>66</v>
      </c>
      <c r="C7" s="129" t="s">
        <v>24</v>
      </c>
      <c r="D7" s="129" t="s">
        <v>24</v>
      </c>
      <c r="E7" s="129" t="s">
        <v>25</v>
      </c>
      <c r="F7" s="129" t="s">
        <v>25</v>
      </c>
      <c r="G7" s="32" t="s">
        <v>68</v>
      </c>
      <c r="H7" s="32" t="s">
        <v>67</v>
      </c>
      <c r="I7" s="32">
        <f>'MERCADO TE'!$U$4</f>
        <v>0</v>
      </c>
      <c r="J7" s="17"/>
      <c r="L7" s="30">
        <f>('TE BE'!$L$7+'TE BF'!$L$7+'TE CVA'!$L$7)*1</f>
        <v>0</v>
      </c>
      <c r="M7" s="30">
        <f>('TE BE'!$M$7+'TE BF'!$M$7+'TE CVA'!$M$7)*1</f>
        <v>0</v>
      </c>
      <c r="N7" s="30">
        <f>('TE BE'!$N$7+'TE BF'!$N$7+'TE CVA'!$N$7)*1</f>
        <v>0</v>
      </c>
      <c r="O7" s="30">
        <f>('TE BE'!$O$7+'TE BF'!$O$7+'TE CVA'!$O$7)*1</f>
        <v>0</v>
      </c>
      <c r="P7" s="30">
        <f>('TE BE'!$Q$7+'TE BF'!$Q$7+'TE CVA'!$Q$7)*1</f>
        <v>225.7947898398177</v>
      </c>
      <c r="Q7" s="30">
        <f>('TE BE'!$S$7+'TE BF'!$S$7+'TE CVA'!$S$7)*1</f>
        <v>0</v>
      </c>
      <c r="R7" s="30">
        <f>('TE BE'!$T$7+'TE BF'!$T$7+'TE CVA'!$T$7)*1</f>
        <v>0</v>
      </c>
      <c r="S7" s="30">
        <f>('TE BE'!$U$7+'TE BF'!$U$7+'TE CVA'!$U$7)*1</f>
        <v>0</v>
      </c>
      <c r="T7" s="30">
        <f>('TE BE'!$W$7+'TE BF'!$W$7+'TE CVA'!$W$7)*1</f>
        <v>0</v>
      </c>
      <c r="U7" s="30">
        <f>('TE BE'!$Y$7+'TE BF'!$Y$7+'TE CVA'!$Y$7)*1</f>
        <v>0</v>
      </c>
      <c r="W7" s="30">
        <v>0</v>
      </c>
      <c r="X7" s="30">
        <v>0</v>
      </c>
      <c r="Y7" s="30">
        <v>0</v>
      </c>
      <c r="Z7" s="30">
        <v>0</v>
      </c>
      <c r="AA7" s="30">
        <v>206.23426994657001</v>
      </c>
      <c r="AB7" s="30">
        <v>0</v>
      </c>
      <c r="AC7" s="30">
        <v>0</v>
      </c>
      <c r="AD7" s="30">
        <v>0</v>
      </c>
      <c r="AE7" s="30">
        <v>-4.4993465765033598</v>
      </c>
      <c r="AF7" s="30">
        <v>0</v>
      </c>
    </row>
    <row r="8" spans="1:32" ht="11.25" customHeight="1" x14ac:dyDescent="0.3">
      <c r="A8" s="129"/>
      <c r="B8" s="129"/>
      <c r="C8" s="129"/>
      <c r="D8" s="129"/>
      <c r="E8" s="129"/>
      <c r="F8" s="129"/>
      <c r="G8" s="32" t="s">
        <v>80</v>
      </c>
      <c r="H8" s="32" t="s">
        <v>67</v>
      </c>
      <c r="I8" s="32">
        <f>'MERCADO TE'!$U$5</f>
        <v>0</v>
      </c>
      <c r="J8" s="17"/>
      <c r="L8" s="30">
        <f>('TE BE'!$L$8+'TE BF'!$L$8+'TE CVA'!$L$8)*1</f>
        <v>0</v>
      </c>
      <c r="M8" s="30">
        <f>('TE BE'!$M$8+'TE BF'!$M$8+'TE CVA'!$M$8)*1</f>
        <v>0</v>
      </c>
      <c r="N8" s="30">
        <f>('TE BE'!$N$8+'TE BF'!$N$8+'TE CVA'!$N$8)*1</f>
        <v>0</v>
      </c>
      <c r="O8" s="30">
        <f>('TE BE'!$O$8+'TE BF'!$O$8+'TE CVA'!$O$8)*1</f>
        <v>0</v>
      </c>
      <c r="P8" s="30">
        <f>('TE BE'!$Q$8+'TE BF'!$Q$8+'TE CVA'!$Q$8)*1</f>
        <v>225.7947898398177</v>
      </c>
      <c r="Q8" s="30">
        <f>('TE BE'!$S$8+'TE BF'!$S$8+'TE CVA'!$S$8)*1</f>
        <v>0</v>
      </c>
      <c r="R8" s="30">
        <f>('TE BE'!$T$8+'TE BF'!$T$8+'TE CVA'!$T$8)*1</f>
        <v>0</v>
      </c>
      <c r="S8" s="30">
        <f>('TE BE'!$U$8+'TE BF'!$U$8+'TE CVA'!$U$8)*1</f>
        <v>0</v>
      </c>
      <c r="T8" s="30">
        <f>('TE BE'!$W$8+'TE BF'!$W$8+'TE CVA'!$W$8)*1</f>
        <v>0</v>
      </c>
      <c r="U8" s="30">
        <f>('TE BE'!$Y$8+'TE BF'!$Y$8+'TE CVA'!$Y$8)*1</f>
        <v>0</v>
      </c>
      <c r="W8" s="30">
        <v>0</v>
      </c>
      <c r="X8" s="30">
        <v>0</v>
      </c>
      <c r="Y8" s="30">
        <v>0</v>
      </c>
      <c r="Z8" s="30">
        <v>0</v>
      </c>
      <c r="AA8" s="30">
        <v>206.23426994657001</v>
      </c>
      <c r="AB8" s="30">
        <v>0</v>
      </c>
      <c r="AC8" s="30">
        <v>0</v>
      </c>
      <c r="AD8" s="30">
        <v>0</v>
      </c>
      <c r="AE8" s="30">
        <v>-4.4993465765033598</v>
      </c>
      <c r="AF8" s="30">
        <v>0</v>
      </c>
    </row>
    <row r="9" spans="1:32" ht="11.25" customHeight="1" x14ac:dyDescent="0.3">
      <c r="A9" s="129"/>
      <c r="B9" s="129"/>
      <c r="C9" s="129"/>
      <c r="D9" s="129"/>
      <c r="E9" s="129"/>
      <c r="F9" s="129"/>
      <c r="G9" s="32" t="s">
        <v>69</v>
      </c>
      <c r="H9" s="32" t="s">
        <v>67</v>
      </c>
      <c r="I9" s="32">
        <f>'MERCADO TE'!$U$6</f>
        <v>0</v>
      </c>
      <c r="J9" s="17"/>
      <c r="L9" s="30">
        <f>('TE BE'!$L$9+'TE BF'!$L$9+'TE CVA'!$L$9)*1</f>
        <v>0</v>
      </c>
      <c r="M9" s="30">
        <f>('TE BE'!$M$9+'TE BF'!$M$9+'TE CVA'!$M$9)*1</f>
        <v>0</v>
      </c>
      <c r="N9" s="30">
        <f>('TE BE'!$N$9+'TE BF'!$N$9+'TE CVA'!$N$9)*1</f>
        <v>0</v>
      </c>
      <c r="O9" s="30">
        <f>('TE BE'!$O$9+'TE BF'!$O$9+'TE CVA'!$O$9)*1</f>
        <v>0</v>
      </c>
      <c r="P9" s="30">
        <f>('TE BE'!$Q$9+'TE BF'!$Q$9+'TE CVA'!$Q$9)*1</f>
        <v>225.7947898398177</v>
      </c>
      <c r="Q9" s="30">
        <f>('TE BE'!$S$9+'TE BF'!$S$9+'TE CVA'!$S$9)*1</f>
        <v>0</v>
      </c>
      <c r="R9" s="30">
        <f>('TE BE'!$T$9+'TE BF'!$T$9+'TE CVA'!$T$9)*1</f>
        <v>0</v>
      </c>
      <c r="S9" s="30">
        <f>('TE BE'!$U$9+'TE BF'!$U$9+'TE CVA'!$U$9)*1</f>
        <v>0</v>
      </c>
      <c r="T9" s="30">
        <f>('TE BE'!$W$9+'TE BF'!$W$9+'TE CVA'!$W$9)*1</f>
        <v>0</v>
      </c>
      <c r="U9" s="30">
        <f>('TE BE'!$Y$9+'TE BF'!$Y$9+'TE CVA'!$Y$9)*1</f>
        <v>0</v>
      </c>
      <c r="W9" s="30">
        <v>0</v>
      </c>
      <c r="X9" s="30">
        <v>0</v>
      </c>
      <c r="Y9" s="30">
        <v>0</v>
      </c>
      <c r="Z9" s="30">
        <v>0</v>
      </c>
      <c r="AA9" s="30">
        <v>206.23426994657001</v>
      </c>
      <c r="AB9" s="30">
        <v>0</v>
      </c>
      <c r="AC9" s="30">
        <v>0</v>
      </c>
      <c r="AD9" s="30">
        <v>0</v>
      </c>
      <c r="AE9" s="30">
        <v>-4.4993465765033598</v>
      </c>
      <c r="AF9" s="30">
        <v>0</v>
      </c>
    </row>
    <row r="10" spans="1:32" ht="11.25" customHeight="1" x14ac:dyDescent="0.3">
      <c r="A10" s="129"/>
      <c r="B10" s="129" t="s">
        <v>81</v>
      </c>
      <c r="C10" s="129" t="s">
        <v>24</v>
      </c>
      <c r="D10" s="81" t="s">
        <v>24</v>
      </c>
      <c r="E10" s="81" t="s">
        <v>25</v>
      </c>
      <c r="F10" s="81" t="s">
        <v>25</v>
      </c>
      <c r="G10" s="32" t="s">
        <v>74</v>
      </c>
      <c r="H10" s="32" t="s">
        <v>67</v>
      </c>
      <c r="I10" s="32">
        <f>'MERCADO TE'!$U$7</f>
        <v>8666.1360000000022</v>
      </c>
      <c r="J10" s="17"/>
      <c r="L10" s="30">
        <f>('TE BE'!$L$10+'TE BF'!$L$10+'TE CVA'!$L$10)*1</f>
        <v>0</v>
      </c>
      <c r="M10" s="30">
        <f>('TE BE'!$M$10+'TE BF'!$M$10+'TE CVA'!$M$10)*1</f>
        <v>0</v>
      </c>
      <c r="N10" s="30">
        <f>('TE BE'!$N$10+'TE BF'!$N$10+'TE CVA'!$N$10)*1</f>
        <v>0</v>
      </c>
      <c r="O10" s="30">
        <f>('TE BE'!$O$10+'TE BF'!$O$10+'TE CVA'!$O$10)*1</f>
        <v>0</v>
      </c>
      <c r="P10" s="30">
        <f>('TE BE'!$Q$10+'TE BF'!$Q$10+'TE CVA'!$Q$10)*1</f>
        <v>225.7947898398177</v>
      </c>
      <c r="Q10" s="30">
        <f>('TE BE'!$S$10+'TE BF'!$S$10+'TE CVA'!$S$10)*1</f>
        <v>0</v>
      </c>
      <c r="R10" s="30">
        <f>('TE BE'!$T$10+'TE BF'!$T$10+'TE CVA'!$T$10)*1</f>
        <v>0</v>
      </c>
      <c r="S10" s="30">
        <f>('TE BE'!$U$10+'TE BF'!$U$10+'TE CVA'!$U$10)*1</f>
        <v>0</v>
      </c>
      <c r="T10" s="30">
        <f>('TE BE'!$W$10+'TE BF'!$W$10+'TE CVA'!$W$10)*1</f>
        <v>0</v>
      </c>
      <c r="U10" s="30">
        <f>('TE BE'!$Y$10+'TE BF'!$Y$10+'TE CVA'!$Y$10)*1</f>
        <v>0</v>
      </c>
      <c r="W10" s="30">
        <v>0</v>
      </c>
      <c r="X10" s="30">
        <v>0</v>
      </c>
      <c r="Y10" s="30">
        <v>0</v>
      </c>
      <c r="Z10" s="30">
        <v>0</v>
      </c>
      <c r="AA10" s="30">
        <v>206.23426994657001</v>
      </c>
      <c r="AB10" s="30">
        <v>0</v>
      </c>
      <c r="AC10" s="30">
        <v>0</v>
      </c>
      <c r="AD10" s="30">
        <v>0</v>
      </c>
      <c r="AE10" s="30">
        <v>-4.4993465765033598</v>
      </c>
      <c r="AF10" s="30">
        <v>0</v>
      </c>
    </row>
    <row r="11" spans="1:32" ht="11.25" customHeight="1" x14ac:dyDescent="0.3">
      <c r="A11" s="129"/>
      <c r="B11" s="129"/>
      <c r="C11" s="129"/>
      <c r="D11" s="81" t="s">
        <v>29</v>
      </c>
      <c r="E11" s="81" t="s">
        <v>25</v>
      </c>
      <c r="F11" s="81" t="s">
        <v>25</v>
      </c>
      <c r="G11" s="32" t="s">
        <v>74</v>
      </c>
      <c r="H11" s="32" t="s">
        <v>67</v>
      </c>
      <c r="I11" s="32">
        <f>'MERCADO TE'!$U$8</f>
        <v>34.769999999999996</v>
      </c>
      <c r="J11" s="17"/>
      <c r="L11" s="30">
        <f>('TE BE'!$L$11+'TE BF'!$L$11+'TE CVA'!$L$11)*(1 - 0.65)</f>
        <v>0</v>
      </c>
      <c r="M11" s="30">
        <f>('TE BE'!$M$11+'TE BF'!$M$11+'TE CVA'!$M$11)*(1 - 0.65)</f>
        <v>0</v>
      </c>
      <c r="N11" s="30">
        <f>('TE BE'!$N$11+'TE BF'!$N$11+'TE CVA'!$N$11)*(1 - 0.65)</f>
        <v>0</v>
      </c>
      <c r="O11" s="30">
        <f>('TE BE'!$O$11+'TE BF'!$O$11+'TE CVA'!$O$11)*(1 - 0.65)</f>
        <v>0</v>
      </c>
      <c r="P11" s="30">
        <f>('TE BE'!$Q$11+'TE BF'!$Q$11+'TE CVA'!$Q$11)*(1 - 0.65)</f>
        <v>79.028176443936189</v>
      </c>
      <c r="Q11" s="30">
        <f>('TE BE'!$S$11+'TE BF'!$S$11+'TE CVA'!$S$11)*(1 - 0.65)</f>
        <v>0</v>
      </c>
      <c r="R11" s="30">
        <f>('TE BE'!$T$11+'TE BF'!$T$11+'TE CVA'!$T$11)*(1 - 0.65)</f>
        <v>0</v>
      </c>
      <c r="S11" s="30">
        <f>('TE BE'!$U$11+'TE BF'!$U$11+'TE CVA'!$U$11)*(1 - 0.65)</f>
        <v>0</v>
      </c>
      <c r="T11" s="30">
        <f>('TE BE'!$W$11+'TE BF'!$W$11+'TE CVA'!$W$11)*(1 - 0.65)</f>
        <v>0</v>
      </c>
      <c r="U11" s="30">
        <f>('TE BE'!$Y$11+'TE BF'!$Y$11+'TE CVA'!$Y$11)*(1 - 0.65)</f>
        <v>0</v>
      </c>
      <c r="W11" s="30">
        <v>0</v>
      </c>
      <c r="X11" s="30">
        <v>0</v>
      </c>
      <c r="Y11" s="30">
        <v>0</v>
      </c>
      <c r="Z11" s="30">
        <v>0</v>
      </c>
      <c r="AA11" s="30">
        <v>72.181994481299597</v>
      </c>
      <c r="AB11" s="30">
        <v>0</v>
      </c>
      <c r="AC11" s="30">
        <v>0</v>
      </c>
      <c r="AD11" s="30">
        <v>0</v>
      </c>
      <c r="AE11" s="30">
        <v>-1.57477130177617</v>
      </c>
      <c r="AF11" s="30">
        <v>0</v>
      </c>
    </row>
    <row r="12" spans="1:32" ht="11.25" customHeight="1" x14ac:dyDescent="0.3">
      <c r="A12" s="129"/>
      <c r="B12" s="129"/>
      <c r="C12" s="129"/>
      <c r="D12" s="81" t="s">
        <v>30</v>
      </c>
      <c r="E12" s="81" t="s">
        <v>25</v>
      </c>
      <c r="F12" s="81" t="s">
        <v>25</v>
      </c>
      <c r="G12" s="32" t="s">
        <v>74</v>
      </c>
      <c r="H12" s="32" t="s">
        <v>67</v>
      </c>
      <c r="I12" s="32">
        <f>'MERCADO TE'!$U$9</f>
        <v>75.075000000000003</v>
      </c>
      <c r="J12" s="17"/>
      <c r="L12" s="30">
        <f>('TE BE'!$L$12+'TE BF'!$L$12+'TE CVA'!$L$12)*(1 - 0.4)</f>
        <v>0</v>
      </c>
      <c r="M12" s="30">
        <f>('TE BE'!$M$12+'TE BF'!$M$12+'TE CVA'!$M$12)*(1 - 0.4)</f>
        <v>0</v>
      </c>
      <c r="N12" s="30">
        <f>('TE BE'!$N$12+'TE BF'!$N$12+'TE CVA'!$N$12)*(1 - 0.4)</f>
        <v>0</v>
      </c>
      <c r="O12" s="30">
        <f>('TE BE'!$O$12+'TE BF'!$O$12+'TE CVA'!$O$12)*(1 - 0.4)</f>
        <v>0</v>
      </c>
      <c r="P12" s="30">
        <f>('TE BE'!$Q$12+'TE BF'!$Q$12+'TE CVA'!$Q$12)*(1 - 0.4)</f>
        <v>135.47687390389061</v>
      </c>
      <c r="Q12" s="30">
        <f>('TE BE'!$S$12+'TE BF'!$S$12+'TE CVA'!$S$12)*(1 - 0.4)</f>
        <v>0</v>
      </c>
      <c r="R12" s="30">
        <f>('TE BE'!$T$12+'TE BF'!$T$12+'TE CVA'!$T$12)*(1 - 0.4)</f>
        <v>0</v>
      </c>
      <c r="S12" s="30">
        <f>('TE BE'!$U$12+'TE BF'!$U$12+'TE CVA'!$U$12)*(1 - 0.4)</f>
        <v>0</v>
      </c>
      <c r="T12" s="30">
        <f>('TE BE'!$W$12+'TE BF'!$W$12+'TE CVA'!$W$12)*(1 - 0.4)</f>
        <v>0</v>
      </c>
      <c r="U12" s="30">
        <f>('TE BE'!$Y$12+'TE BF'!$Y$12+'TE CVA'!$Y$12)*(1 - 0.4)</f>
        <v>0</v>
      </c>
      <c r="W12" s="30">
        <v>0</v>
      </c>
      <c r="X12" s="30">
        <v>0</v>
      </c>
      <c r="Y12" s="30">
        <v>0</v>
      </c>
      <c r="Z12" s="30">
        <v>0</v>
      </c>
      <c r="AA12" s="30">
        <v>123.740561967942</v>
      </c>
      <c r="AB12" s="30">
        <v>0</v>
      </c>
      <c r="AC12" s="30">
        <v>0</v>
      </c>
      <c r="AD12" s="30">
        <v>0</v>
      </c>
      <c r="AE12" s="30">
        <v>-2.6996079459020099</v>
      </c>
      <c r="AF12" s="30">
        <v>0</v>
      </c>
    </row>
    <row r="13" spans="1:32" ht="11.25" customHeight="1" x14ac:dyDescent="0.3">
      <c r="A13" s="129"/>
      <c r="B13" s="129"/>
      <c r="C13" s="129"/>
      <c r="D13" s="81" t="s">
        <v>31</v>
      </c>
      <c r="E13" s="81" t="s">
        <v>25</v>
      </c>
      <c r="F13" s="81" t="s">
        <v>25</v>
      </c>
      <c r="G13" s="32" t="s">
        <v>74</v>
      </c>
      <c r="H13" s="32" t="s">
        <v>67</v>
      </c>
      <c r="I13" s="32">
        <f>'MERCADO TE'!$U$10</f>
        <v>64.762</v>
      </c>
      <c r="J13" s="17"/>
      <c r="L13" s="30">
        <f>('TE BE'!$L$13+'TE BF'!$L$13+'TE CVA'!$L$13)*(1 - 0.1)</f>
        <v>0</v>
      </c>
      <c r="M13" s="30">
        <f>('TE BE'!$M$13+'TE BF'!$M$13+'TE CVA'!$M$13)*(1 - 0.1)</f>
        <v>0</v>
      </c>
      <c r="N13" s="30">
        <f>('TE BE'!$N$13+'TE BF'!$N$13+'TE CVA'!$N$13)*(1 - 0.1)</f>
        <v>0</v>
      </c>
      <c r="O13" s="30">
        <f>('TE BE'!$O$13+'TE BF'!$O$13+'TE CVA'!$O$13)*(1 - 0.1)</f>
        <v>0</v>
      </c>
      <c r="P13" s="30">
        <f>('TE BE'!$Q$13+'TE BF'!$Q$13+'TE CVA'!$Q$13)*(1 - 0.1)</f>
        <v>203.21531085583592</v>
      </c>
      <c r="Q13" s="30">
        <f>('TE BE'!$S$13+'TE BF'!$S$13+'TE CVA'!$S$13)*(1 - 0.1)</f>
        <v>0</v>
      </c>
      <c r="R13" s="30">
        <f>('TE BE'!$T$13+'TE BF'!$T$13+'TE CVA'!$T$13)*(1 - 0.1)</f>
        <v>0</v>
      </c>
      <c r="S13" s="30">
        <f>('TE BE'!$U$13+'TE BF'!$U$13+'TE CVA'!$U$13)*(1 - 0.1)</f>
        <v>0</v>
      </c>
      <c r="T13" s="30">
        <f>('TE BE'!$W$13+'TE BF'!$W$13+'TE CVA'!$W$13)*(1 - 0.1)</f>
        <v>0</v>
      </c>
      <c r="U13" s="30">
        <f>('TE BE'!$Y$13+'TE BF'!$Y$13+'TE CVA'!$Y$13)*(1 - 0.1)</f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185.61084295191301</v>
      </c>
      <c r="AB13" s="30">
        <v>0</v>
      </c>
      <c r="AC13" s="30">
        <v>0</v>
      </c>
      <c r="AD13" s="30">
        <v>0</v>
      </c>
      <c r="AE13" s="30">
        <v>-4.0494119188530204</v>
      </c>
      <c r="AF13" s="30">
        <v>0</v>
      </c>
    </row>
    <row r="14" spans="1:32" ht="11.25" customHeight="1" x14ac:dyDescent="0.3">
      <c r="A14" s="129"/>
      <c r="B14" s="129"/>
      <c r="C14" s="129"/>
      <c r="D14" s="81" t="s">
        <v>32</v>
      </c>
      <c r="E14" s="81" t="s">
        <v>25</v>
      </c>
      <c r="F14" s="81" t="s">
        <v>25</v>
      </c>
      <c r="G14" s="32" t="s">
        <v>74</v>
      </c>
      <c r="H14" s="32" t="s">
        <v>67</v>
      </c>
      <c r="I14" s="32">
        <f>'MERCADO TE'!$U$11</f>
        <v>22.914000000000001</v>
      </c>
      <c r="J14" s="17"/>
      <c r="L14" s="30">
        <f>('TE BE'!$L$14+'TE BF'!$L$14+'TE CVA'!$L$14)*1</f>
        <v>0</v>
      </c>
      <c r="M14" s="30">
        <f>('TE BE'!$M$14+'TE BF'!$M$14+'TE CVA'!$M$14)*1</f>
        <v>0</v>
      </c>
      <c r="N14" s="30">
        <f>('TE BE'!$N$14+'TE BF'!$N$14+'TE CVA'!$N$14)*1</f>
        <v>0</v>
      </c>
      <c r="O14" s="30">
        <f>('TE BE'!$O$14+'TE BF'!$O$14+'TE CVA'!$O$14)*1</f>
        <v>0</v>
      </c>
      <c r="P14" s="30">
        <f>('TE BE'!$Q$14+'TE BF'!$Q$14+'TE CVA'!$Q$14)*1</f>
        <v>225.7947898398177</v>
      </c>
      <c r="Q14" s="30">
        <f>('TE BE'!$S$14+'TE BF'!$S$14+'TE CVA'!$S$14)*1</f>
        <v>0</v>
      </c>
      <c r="R14" s="30">
        <f>('TE BE'!$T$14+'TE BF'!$T$14+'TE CVA'!$T$14)*1</f>
        <v>0</v>
      </c>
      <c r="S14" s="30">
        <f>('TE BE'!$U$14+'TE BF'!$U$14+'TE CVA'!$U$14)*1</f>
        <v>0</v>
      </c>
      <c r="T14" s="30">
        <f>('TE BE'!$W$14+'TE BF'!$W$14+'TE CVA'!$W$14)*1</f>
        <v>0</v>
      </c>
      <c r="U14" s="30">
        <f>('TE BE'!$Y$14+'TE BF'!$Y$14+'TE CVA'!$Y$14)*1</f>
        <v>0</v>
      </c>
      <c r="W14" s="30">
        <v>0</v>
      </c>
      <c r="X14" s="30">
        <v>0</v>
      </c>
      <c r="Y14" s="30">
        <v>0</v>
      </c>
      <c r="Z14" s="30">
        <v>0</v>
      </c>
      <c r="AA14" s="30">
        <v>206.23426994657001</v>
      </c>
      <c r="AB14" s="30">
        <v>0</v>
      </c>
      <c r="AC14" s="30">
        <v>0</v>
      </c>
      <c r="AD14" s="30">
        <v>0</v>
      </c>
      <c r="AE14" s="30">
        <v>-4.4993465765033598</v>
      </c>
      <c r="AF14" s="30">
        <v>0</v>
      </c>
    </row>
    <row r="15" spans="1:32" ht="11.25" customHeight="1" x14ac:dyDescent="0.3">
      <c r="A15" s="129"/>
      <c r="B15" s="129" t="s">
        <v>83</v>
      </c>
      <c r="C15" s="129" t="s">
        <v>24</v>
      </c>
      <c r="D15" s="81" t="s">
        <v>24</v>
      </c>
      <c r="E15" s="81" t="s">
        <v>25</v>
      </c>
      <c r="F15" s="81" t="s">
        <v>25</v>
      </c>
      <c r="G15" s="32" t="s">
        <v>74</v>
      </c>
      <c r="H15" s="32" t="s">
        <v>67</v>
      </c>
      <c r="I15" s="32">
        <f>'MERCADO TE'!$U$12</f>
        <v>0</v>
      </c>
      <c r="J15" s="17"/>
      <c r="L15" s="30">
        <f>('TE BE'!$L$15+'TE BF'!$L$15+'TE CVA'!$L$15)*1</f>
        <v>0</v>
      </c>
      <c r="M15" s="30">
        <f>('TE BE'!$M$15+'TE BF'!$M$15+'TE CVA'!$M$15)*1</f>
        <v>0</v>
      </c>
      <c r="N15" s="30">
        <f>('TE BE'!$N$15+'TE BF'!$N$15+'TE CVA'!$N$15)*1</f>
        <v>0</v>
      </c>
      <c r="O15" s="30">
        <f>('TE BE'!$O$15+'TE BF'!$O$15+'TE CVA'!$O$15)*1</f>
        <v>0</v>
      </c>
      <c r="P15" s="30">
        <f>('TE BE'!$Q$15+'TE BF'!$Q$15+'TE CVA'!$Q$15)*1</f>
        <v>225.7947898398177</v>
      </c>
      <c r="Q15" s="30">
        <f>('TE BE'!$S$15+'TE BF'!$S$15+'TE CVA'!$S$15)*1</f>
        <v>0</v>
      </c>
      <c r="R15" s="30">
        <f>('TE BE'!$T$15+'TE BF'!$T$15+'TE CVA'!$T$15)*1</f>
        <v>0</v>
      </c>
      <c r="S15" s="30">
        <f>('TE BE'!$U$15+'TE BF'!$U$15+'TE CVA'!$U$15)*1</f>
        <v>0</v>
      </c>
      <c r="T15" s="30">
        <f>('TE BE'!$W$15+'TE BF'!$W$15+'TE CVA'!$W$15)*1</f>
        <v>0</v>
      </c>
      <c r="U15" s="30">
        <f>('TE BE'!$Y$15+'TE BF'!$Y$15+'TE CVA'!$Y$15)*1</f>
        <v>0</v>
      </c>
      <c r="W15" s="30">
        <v>0</v>
      </c>
      <c r="X15" s="30">
        <v>0</v>
      </c>
      <c r="Y15" s="30">
        <v>0</v>
      </c>
      <c r="Z15" s="30">
        <v>0</v>
      </c>
      <c r="AA15" s="30">
        <v>206.23426994657001</v>
      </c>
      <c r="AB15" s="30">
        <v>0</v>
      </c>
      <c r="AC15" s="30">
        <v>0</v>
      </c>
      <c r="AD15" s="30">
        <v>0</v>
      </c>
      <c r="AE15" s="30">
        <v>-4.4993465765033598</v>
      </c>
      <c r="AF15" s="30">
        <v>0</v>
      </c>
    </row>
    <row r="16" spans="1:32" ht="11.25" customHeight="1" x14ac:dyDescent="0.3">
      <c r="A16" s="129"/>
      <c r="B16" s="129"/>
      <c r="C16" s="129"/>
      <c r="D16" s="81" t="s">
        <v>29</v>
      </c>
      <c r="E16" s="81" t="s">
        <v>25</v>
      </c>
      <c r="F16" s="81" t="s">
        <v>25</v>
      </c>
      <c r="G16" s="32" t="s">
        <v>74</v>
      </c>
      <c r="H16" s="32" t="s">
        <v>67</v>
      </c>
      <c r="I16" s="32">
        <f>'MERCADO TE'!$U$13</f>
        <v>0</v>
      </c>
      <c r="J16" s="17"/>
      <c r="L16" s="30">
        <f>('TE BE'!$L$16+'TE BF'!$L$16+'TE CVA'!$L$16)*(1 - 0.65)</f>
        <v>0</v>
      </c>
      <c r="M16" s="30">
        <f>('TE BE'!$M$16+'TE BF'!$M$16+'TE CVA'!$M$16)*(1 - 0.65)</f>
        <v>0</v>
      </c>
      <c r="N16" s="30">
        <f>('TE BE'!$N$16+'TE BF'!$N$16+'TE CVA'!$N$16)*(1 - 0.65)</f>
        <v>0</v>
      </c>
      <c r="O16" s="30">
        <f>('TE BE'!$O$16+'TE BF'!$O$16+'TE CVA'!$O$16)*(1 - 0.65)</f>
        <v>0</v>
      </c>
      <c r="P16" s="30">
        <f>('TE BE'!$Q$16+'TE BF'!$Q$16+'TE CVA'!$Q$16)*(1 - 0.65)</f>
        <v>79.028176443936189</v>
      </c>
      <c r="Q16" s="30">
        <f>('TE BE'!$S$16+'TE BF'!$S$16+'TE CVA'!$S$16)*(1 - 0.65)</f>
        <v>0</v>
      </c>
      <c r="R16" s="30">
        <f>('TE BE'!$T$16+'TE BF'!$T$16+'TE CVA'!$T$16)*(1 - 0.65)</f>
        <v>0</v>
      </c>
      <c r="S16" s="30">
        <f>('TE BE'!$U$16+'TE BF'!$U$16+'TE CVA'!$U$16)*(1 - 0.65)</f>
        <v>0</v>
      </c>
      <c r="T16" s="30">
        <f>('TE BE'!$W$16+'TE BF'!$W$16+'TE CVA'!$W$16)*(1 - 0.65)</f>
        <v>0</v>
      </c>
      <c r="U16" s="30">
        <f>('TE BE'!$Y$16+'TE BF'!$Y$16+'TE CVA'!$Y$16)*(1 - 0.65)</f>
        <v>0</v>
      </c>
      <c r="W16" s="30">
        <v>0</v>
      </c>
      <c r="X16" s="30">
        <v>0</v>
      </c>
      <c r="Y16" s="30">
        <v>0</v>
      </c>
      <c r="Z16" s="30">
        <v>0</v>
      </c>
      <c r="AA16" s="30">
        <v>72.181994481299597</v>
      </c>
      <c r="AB16" s="30">
        <v>0</v>
      </c>
      <c r="AC16" s="30">
        <v>0</v>
      </c>
      <c r="AD16" s="30">
        <v>0</v>
      </c>
      <c r="AE16" s="30">
        <v>-1.57477130177617</v>
      </c>
      <c r="AF16" s="30">
        <v>0</v>
      </c>
    </row>
    <row r="17" spans="1:32" ht="11.25" customHeight="1" x14ac:dyDescent="0.3">
      <c r="A17" s="129"/>
      <c r="B17" s="129"/>
      <c r="C17" s="129"/>
      <c r="D17" s="81" t="s">
        <v>30</v>
      </c>
      <c r="E17" s="81" t="s">
        <v>25</v>
      </c>
      <c r="F17" s="81" t="s">
        <v>25</v>
      </c>
      <c r="G17" s="32" t="s">
        <v>74</v>
      </c>
      <c r="H17" s="32" t="s">
        <v>67</v>
      </c>
      <c r="I17" s="32">
        <f>'MERCADO TE'!$U$14</f>
        <v>0</v>
      </c>
      <c r="J17" s="17"/>
      <c r="L17" s="30">
        <f>('TE BE'!$L$17+'TE BF'!$L$17+'TE CVA'!$L$17)*(1 - 0.4)</f>
        <v>0</v>
      </c>
      <c r="M17" s="30">
        <f>('TE BE'!$M$17+'TE BF'!$M$17+'TE CVA'!$M$17)*(1 - 0.4)</f>
        <v>0</v>
      </c>
      <c r="N17" s="30">
        <f>('TE BE'!$N$17+'TE BF'!$N$17+'TE CVA'!$N$17)*(1 - 0.4)</f>
        <v>0</v>
      </c>
      <c r="O17" s="30">
        <f>('TE BE'!$O$17+'TE BF'!$O$17+'TE CVA'!$O$17)*(1 - 0.4)</f>
        <v>0</v>
      </c>
      <c r="P17" s="30">
        <f>('TE BE'!$Q$17+'TE BF'!$Q$17+'TE CVA'!$Q$17)*(1 - 0.4)</f>
        <v>135.47687390389061</v>
      </c>
      <c r="Q17" s="30">
        <f>('TE BE'!$S$17+'TE BF'!$S$17+'TE CVA'!$S$17)*(1 - 0.4)</f>
        <v>0</v>
      </c>
      <c r="R17" s="30">
        <f>('TE BE'!$T$17+'TE BF'!$T$17+'TE CVA'!$T$17)*(1 - 0.4)</f>
        <v>0</v>
      </c>
      <c r="S17" s="30">
        <f>('TE BE'!$U$17+'TE BF'!$U$17+'TE CVA'!$U$17)*(1 - 0.4)</f>
        <v>0</v>
      </c>
      <c r="T17" s="30">
        <f>('TE BE'!$W$17+'TE BF'!$W$17+'TE CVA'!$W$17)*(1 - 0.4)</f>
        <v>0</v>
      </c>
      <c r="U17" s="30">
        <f>('TE BE'!$Y$17+'TE BF'!$Y$17+'TE CVA'!$Y$17)*(1 - 0.4)</f>
        <v>0</v>
      </c>
      <c r="W17" s="30">
        <v>0</v>
      </c>
      <c r="X17" s="30">
        <v>0</v>
      </c>
      <c r="Y17" s="30">
        <v>0</v>
      </c>
      <c r="Z17" s="30">
        <v>0</v>
      </c>
      <c r="AA17" s="30">
        <v>123.740561967942</v>
      </c>
      <c r="AB17" s="30">
        <v>0</v>
      </c>
      <c r="AC17" s="30">
        <v>0</v>
      </c>
      <c r="AD17" s="30">
        <v>0</v>
      </c>
      <c r="AE17" s="30">
        <v>-2.6996079459020099</v>
      </c>
      <c r="AF17" s="30">
        <v>0</v>
      </c>
    </row>
    <row r="18" spans="1:32" ht="11.25" customHeight="1" x14ac:dyDescent="0.3">
      <c r="A18" s="129"/>
      <c r="B18" s="129"/>
      <c r="C18" s="129"/>
      <c r="D18" s="81" t="s">
        <v>31</v>
      </c>
      <c r="E18" s="81" t="s">
        <v>25</v>
      </c>
      <c r="F18" s="81" t="s">
        <v>25</v>
      </c>
      <c r="G18" s="32" t="s">
        <v>74</v>
      </c>
      <c r="H18" s="32" t="s">
        <v>67</v>
      </c>
      <c r="I18" s="32">
        <f>'MERCADO TE'!$U$15</f>
        <v>0</v>
      </c>
      <c r="J18" s="17"/>
      <c r="L18" s="30">
        <f>('TE BE'!$L$18+'TE BF'!$L$18+'TE CVA'!$L$18)*(1 - 0.1)</f>
        <v>0</v>
      </c>
      <c r="M18" s="30">
        <f>('TE BE'!$M$18+'TE BF'!$M$18+'TE CVA'!$M$18)*(1 - 0.1)</f>
        <v>0</v>
      </c>
      <c r="N18" s="30">
        <f>('TE BE'!$N$18+'TE BF'!$N$18+'TE CVA'!$N$18)*(1 - 0.1)</f>
        <v>0</v>
      </c>
      <c r="O18" s="30">
        <f>('TE BE'!$O$18+'TE BF'!$O$18+'TE CVA'!$O$18)*(1 - 0.1)</f>
        <v>0</v>
      </c>
      <c r="P18" s="30">
        <f>('TE BE'!$Q$18+'TE BF'!$Q$18+'TE CVA'!$Q$18)*(1 - 0.1)</f>
        <v>203.21531085583592</v>
      </c>
      <c r="Q18" s="30">
        <f>('TE BE'!$S$18+'TE BF'!$S$18+'TE CVA'!$S$18)*(1 - 0.1)</f>
        <v>0</v>
      </c>
      <c r="R18" s="30">
        <f>('TE BE'!$T$18+'TE BF'!$T$18+'TE CVA'!$T$18)*(1 - 0.1)</f>
        <v>0</v>
      </c>
      <c r="S18" s="30">
        <f>('TE BE'!$U$18+'TE BF'!$U$18+'TE CVA'!$U$18)*(1 - 0.1)</f>
        <v>0</v>
      </c>
      <c r="T18" s="30">
        <f>('TE BE'!$W$18+'TE BF'!$W$18+'TE CVA'!$W$18)*(1 - 0.1)</f>
        <v>0</v>
      </c>
      <c r="U18" s="30">
        <f>('TE BE'!$Y$18+'TE BF'!$Y$18+'TE CVA'!$Y$18)*(1 - 0.1)</f>
        <v>0</v>
      </c>
      <c r="W18" s="30">
        <v>0</v>
      </c>
      <c r="X18" s="30">
        <v>0</v>
      </c>
      <c r="Y18" s="30">
        <v>0</v>
      </c>
      <c r="Z18" s="30">
        <v>0</v>
      </c>
      <c r="AA18" s="30">
        <v>185.61084295191301</v>
      </c>
      <c r="AB18" s="30">
        <v>0</v>
      </c>
      <c r="AC18" s="30">
        <v>0</v>
      </c>
      <c r="AD18" s="30">
        <v>0</v>
      </c>
      <c r="AE18" s="30">
        <v>-4.0494119188530204</v>
      </c>
      <c r="AF18" s="30">
        <v>0</v>
      </c>
    </row>
    <row r="19" spans="1:32" ht="11.25" customHeight="1" x14ac:dyDescent="0.3">
      <c r="A19" s="129"/>
      <c r="B19" s="129"/>
      <c r="C19" s="129"/>
      <c r="D19" s="81" t="s">
        <v>32</v>
      </c>
      <c r="E19" s="81" t="s">
        <v>25</v>
      </c>
      <c r="F19" s="81" t="s">
        <v>25</v>
      </c>
      <c r="G19" s="32" t="s">
        <v>74</v>
      </c>
      <c r="H19" s="32" t="s">
        <v>67</v>
      </c>
      <c r="I19" s="32">
        <f>'MERCADO TE'!$U$16</f>
        <v>0</v>
      </c>
      <c r="J19" s="17"/>
      <c r="L19" s="30">
        <f>('TE BE'!$L$19+'TE BF'!$L$19+'TE CVA'!$L$19)*1</f>
        <v>0</v>
      </c>
      <c r="M19" s="30">
        <f>('TE BE'!$M$19+'TE BF'!$M$19+'TE CVA'!$M$19)*1</f>
        <v>0</v>
      </c>
      <c r="N19" s="30">
        <f>('TE BE'!$N$19+'TE BF'!$N$19+'TE CVA'!$N$19)*1</f>
        <v>0</v>
      </c>
      <c r="O19" s="30">
        <f>('TE BE'!$O$19+'TE BF'!$O$19+'TE CVA'!$O$19)*1</f>
        <v>0</v>
      </c>
      <c r="P19" s="30">
        <f>('TE BE'!$Q$19+'TE BF'!$Q$19+'TE CVA'!$Q$19)*1</f>
        <v>225.7947898398177</v>
      </c>
      <c r="Q19" s="30">
        <f>('TE BE'!$S$19+'TE BF'!$S$19+'TE CVA'!$S$19)*1</f>
        <v>0</v>
      </c>
      <c r="R19" s="30">
        <f>('TE BE'!$T$19+'TE BF'!$T$19+'TE CVA'!$T$19)*1</f>
        <v>0</v>
      </c>
      <c r="S19" s="30">
        <f>('TE BE'!$U$19+'TE BF'!$U$19+'TE CVA'!$U$19)*1</f>
        <v>0</v>
      </c>
      <c r="T19" s="30">
        <f>('TE BE'!$W$19+'TE BF'!$W$19+'TE CVA'!$W$19)*1</f>
        <v>0</v>
      </c>
      <c r="U19" s="30">
        <f>('TE BE'!$Y$19+'TE BF'!$Y$19+'TE CVA'!$Y$19)*1</f>
        <v>0</v>
      </c>
      <c r="W19" s="30">
        <v>0</v>
      </c>
      <c r="X19" s="30">
        <v>0</v>
      </c>
      <c r="Y19" s="30">
        <v>0</v>
      </c>
      <c r="Z19" s="30">
        <v>0</v>
      </c>
      <c r="AA19" s="30">
        <v>206.23426994657001</v>
      </c>
      <c r="AB19" s="30">
        <v>0</v>
      </c>
      <c r="AC19" s="30">
        <v>0</v>
      </c>
      <c r="AD19" s="30">
        <v>0</v>
      </c>
      <c r="AE19" s="30">
        <v>-4.4993465765033598</v>
      </c>
      <c r="AF19" s="30">
        <v>0</v>
      </c>
    </row>
    <row r="20" spans="1:32" ht="11.25" customHeight="1" x14ac:dyDescent="0.3">
      <c r="A20" s="129" t="s">
        <v>40</v>
      </c>
      <c r="B20" s="129" t="s">
        <v>66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2" t="s">
        <v>68</v>
      </c>
      <c r="H20" s="32" t="s">
        <v>67</v>
      </c>
      <c r="I20" s="32">
        <f>'MERCADO TE'!$U$17</f>
        <v>0</v>
      </c>
      <c r="J20" s="17"/>
      <c r="L20" s="30">
        <f>('TE BE'!$L$20+'TE BF'!$L$20+'TE CVA'!$L$20)*(1 - CUSTOS!$M$38)</f>
        <v>0</v>
      </c>
      <c r="M20" s="30">
        <f>('TE BE'!$M$20+'TE BF'!$M$20+'TE CVA'!$M$20)*(1 - CUSTOS!$M$38)</f>
        <v>0</v>
      </c>
      <c r="N20" s="30">
        <f>('TE BE'!$N$20+'TE BF'!$N$20+'TE CVA'!$N$20)*(1 - CUSTOS!$M$38)</f>
        <v>0</v>
      </c>
      <c r="O20" s="30">
        <f>('TE BE'!$O$20+'TE BF'!$O$20+'TE CVA'!$O$20)*(1 - CUSTOS!$M$38)</f>
        <v>0</v>
      </c>
      <c r="P20" s="30">
        <f>('TE BE'!$Q$20+'TE BF'!$Q$20+'TE CVA'!$Q$20)*(1 - CUSTOS!$M$38)</f>
        <v>212.24710244942861</v>
      </c>
      <c r="Q20" s="30">
        <f>('TE BE'!$S$20+'TE BF'!$S$20+'TE CVA'!$S$20)*(1 - CUSTOS!$M$38)</f>
        <v>0</v>
      </c>
      <c r="R20" s="30">
        <f>('TE BE'!$T$20+'TE BF'!$T$20+'TE CVA'!$T$20)*(1 - CUSTOS!$M$38)</f>
        <v>0</v>
      </c>
      <c r="S20" s="30">
        <f>('TE BE'!$U$20+'TE BF'!$U$20+'TE CVA'!$U$20)*(1 - CUSTOS!$M$38)</f>
        <v>0</v>
      </c>
      <c r="T20" s="30">
        <f>('TE BE'!$W$20+'TE BF'!$W$20+'TE CVA'!$W$20)*(1 - CUSTOS!$M$38)</f>
        <v>0</v>
      </c>
      <c r="U20" s="30">
        <f>('TE BE'!$Y$20+'TE BF'!$Y$20+'TE CVA'!$Y$20)*(1 - CUSTOS!$M$38)</f>
        <v>0</v>
      </c>
      <c r="W20" s="30">
        <v>0</v>
      </c>
      <c r="X20" s="30">
        <v>0</v>
      </c>
      <c r="Y20" s="30">
        <v>0</v>
      </c>
      <c r="Z20" s="30">
        <v>0</v>
      </c>
      <c r="AA20" s="30">
        <v>181.48615755298201</v>
      </c>
      <c r="AB20" s="30">
        <v>0</v>
      </c>
      <c r="AC20" s="30">
        <v>0</v>
      </c>
      <c r="AD20" s="30">
        <v>0</v>
      </c>
      <c r="AE20" s="30">
        <v>-3.9594249873229499</v>
      </c>
      <c r="AF20" s="30">
        <v>0</v>
      </c>
    </row>
    <row r="21" spans="1:32" ht="11.25" customHeight="1" x14ac:dyDescent="0.3">
      <c r="A21" s="129"/>
      <c r="B21" s="129"/>
      <c r="C21" s="129"/>
      <c r="D21" s="129"/>
      <c r="E21" s="129"/>
      <c r="F21" s="129"/>
      <c r="G21" s="32" t="s">
        <v>80</v>
      </c>
      <c r="H21" s="32" t="s">
        <v>67</v>
      </c>
      <c r="I21" s="32">
        <f>'MERCADO TE'!$U$18</f>
        <v>0</v>
      </c>
      <c r="J21" s="17"/>
      <c r="L21" s="30">
        <f>('TE BE'!$L$21+'TE BF'!$L$21+'TE CVA'!$L$21)*(1 - CUSTOS!$M$38)</f>
        <v>0</v>
      </c>
      <c r="M21" s="30">
        <f>('TE BE'!$M$21+'TE BF'!$M$21+'TE CVA'!$M$21)*(1 - CUSTOS!$M$38)</f>
        <v>0</v>
      </c>
      <c r="N21" s="30">
        <f>('TE BE'!$N$21+'TE BF'!$N$21+'TE CVA'!$N$21)*(1 - CUSTOS!$M$38)</f>
        <v>0</v>
      </c>
      <c r="O21" s="30">
        <f>('TE BE'!$O$21+'TE BF'!$O$21+'TE CVA'!$O$21)*(1 - CUSTOS!$M$38)</f>
        <v>0</v>
      </c>
      <c r="P21" s="30">
        <f>('TE BE'!$Q$21+'TE BF'!$Q$21+'TE CVA'!$Q$21)*(1 - CUSTOS!$M$38)</f>
        <v>212.24710244942861</v>
      </c>
      <c r="Q21" s="30">
        <f>('TE BE'!$S$21+'TE BF'!$S$21+'TE CVA'!$S$21)*(1 - CUSTOS!$M$38)</f>
        <v>0</v>
      </c>
      <c r="R21" s="30">
        <f>('TE BE'!$T$21+'TE BF'!$T$21+'TE CVA'!$T$21)*(1 - CUSTOS!$M$38)</f>
        <v>0</v>
      </c>
      <c r="S21" s="30">
        <f>('TE BE'!$U$21+'TE BF'!$U$21+'TE CVA'!$U$21)*(1 - CUSTOS!$M$38)</f>
        <v>0</v>
      </c>
      <c r="T21" s="30">
        <f>('TE BE'!$W$21+'TE BF'!$W$21+'TE CVA'!$W$21)*(1 - CUSTOS!$M$38)</f>
        <v>0</v>
      </c>
      <c r="U21" s="30">
        <f>('TE BE'!$Y$21+'TE BF'!$Y$21+'TE CVA'!$Y$21)*(1 - CUSTOS!$M$38)</f>
        <v>0</v>
      </c>
      <c r="W21" s="30">
        <v>0</v>
      </c>
      <c r="X21" s="30">
        <v>0</v>
      </c>
      <c r="Y21" s="30">
        <v>0</v>
      </c>
      <c r="Z21" s="30">
        <v>0</v>
      </c>
      <c r="AA21" s="30">
        <v>181.48615755298201</v>
      </c>
      <c r="AB21" s="30">
        <v>0</v>
      </c>
      <c r="AC21" s="30">
        <v>0</v>
      </c>
      <c r="AD21" s="30">
        <v>0</v>
      </c>
      <c r="AE21" s="30">
        <v>-3.9594249873229499</v>
      </c>
      <c r="AF21" s="30">
        <v>0</v>
      </c>
    </row>
    <row r="22" spans="1:32" ht="11.25" customHeight="1" x14ac:dyDescent="0.3">
      <c r="A22" s="129"/>
      <c r="B22" s="129"/>
      <c r="C22" s="129"/>
      <c r="D22" s="129"/>
      <c r="E22" s="129"/>
      <c r="F22" s="129"/>
      <c r="G22" s="32" t="s">
        <v>69</v>
      </c>
      <c r="H22" s="32" t="s">
        <v>67</v>
      </c>
      <c r="I22" s="32">
        <f>'MERCADO TE'!$U$19</f>
        <v>0</v>
      </c>
      <c r="J22" s="17"/>
      <c r="L22" s="30">
        <f>('TE BE'!$L$22+'TE BF'!$L$22+'TE CVA'!$L$22)*(1 - CUSTOS!$M$38)</f>
        <v>0</v>
      </c>
      <c r="M22" s="30">
        <f>('TE BE'!$M$22+'TE BF'!$M$22+'TE CVA'!$M$22)*(1 - CUSTOS!$M$38)</f>
        <v>0</v>
      </c>
      <c r="N22" s="30">
        <f>('TE BE'!$N$22+'TE BF'!$N$22+'TE CVA'!$N$22)*(1 - CUSTOS!$M$38)</f>
        <v>0</v>
      </c>
      <c r="O22" s="30">
        <f>('TE BE'!$O$22+'TE BF'!$O$22+'TE CVA'!$O$22)*(1 - CUSTOS!$M$38)</f>
        <v>0</v>
      </c>
      <c r="P22" s="30">
        <f>('TE BE'!$Q$22+'TE BF'!$Q$22+'TE CVA'!$Q$22)*(1 - CUSTOS!$M$38)</f>
        <v>212.24710244942861</v>
      </c>
      <c r="Q22" s="30">
        <f>('TE BE'!$S$22+'TE BF'!$S$22+'TE CVA'!$S$22)*(1 - CUSTOS!$M$38)</f>
        <v>0</v>
      </c>
      <c r="R22" s="30">
        <f>('TE BE'!$T$22+'TE BF'!$T$22+'TE CVA'!$T$22)*(1 - CUSTOS!$M$38)</f>
        <v>0</v>
      </c>
      <c r="S22" s="30">
        <f>('TE BE'!$U$22+'TE BF'!$U$22+'TE CVA'!$U$22)*(1 - CUSTOS!$M$38)</f>
        <v>0</v>
      </c>
      <c r="T22" s="30">
        <f>('TE BE'!$W$22+'TE BF'!$W$22+'TE CVA'!$W$22)*(1 - CUSTOS!$M$38)</f>
        <v>0</v>
      </c>
      <c r="U22" s="30">
        <f>('TE BE'!$Y$22+'TE BF'!$Y$22+'TE CVA'!$Y$22)*(1 - CUSTOS!$M$38)</f>
        <v>0</v>
      </c>
      <c r="W22" s="30">
        <v>0</v>
      </c>
      <c r="X22" s="30">
        <v>0</v>
      </c>
      <c r="Y22" s="30">
        <v>0</v>
      </c>
      <c r="Z22" s="30">
        <v>0</v>
      </c>
      <c r="AA22" s="30">
        <v>181.48615755298201</v>
      </c>
      <c r="AB22" s="30">
        <v>0</v>
      </c>
      <c r="AC22" s="30">
        <v>0</v>
      </c>
      <c r="AD22" s="30">
        <v>0</v>
      </c>
      <c r="AE22" s="30">
        <v>-3.9594249873229499</v>
      </c>
      <c r="AF22" s="30">
        <v>0</v>
      </c>
    </row>
    <row r="23" spans="1:32" ht="11.25" customHeight="1" x14ac:dyDescent="0.3">
      <c r="A23" s="129"/>
      <c r="B23" s="81" t="s">
        <v>81</v>
      </c>
      <c r="C23" s="81" t="s">
        <v>41</v>
      </c>
      <c r="D23" s="81" t="s">
        <v>25</v>
      </c>
      <c r="E23" s="81" t="s">
        <v>25</v>
      </c>
      <c r="F23" s="81" t="s">
        <v>25</v>
      </c>
      <c r="G23" s="32" t="s">
        <v>74</v>
      </c>
      <c r="H23" s="32" t="s">
        <v>67</v>
      </c>
      <c r="I23" s="32">
        <f>'MERCADO TE'!$U$20</f>
        <v>1516.1360000000004</v>
      </c>
      <c r="J23" s="17"/>
      <c r="L23" s="30">
        <f>('TE BE'!$L$23+'TE BF'!$L$23+'TE CVA'!$L$23)*(1 - CUSTOS!$M$38)</f>
        <v>0</v>
      </c>
      <c r="M23" s="30">
        <f>('TE BE'!$M$23+'TE BF'!$M$23+'TE CVA'!$M$23)*(1 - CUSTOS!$M$38)</f>
        <v>0</v>
      </c>
      <c r="N23" s="30">
        <f>('TE BE'!$N$23+'TE BF'!$N$23+'TE CVA'!$N$23)*(1 - CUSTOS!$M$38)</f>
        <v>0</v>
      </c>
      <c r="O23" s="30">
        <f>('TE BE'!$O$23+'TE BF'!$O$23+'TE CVA'!$O$23)*(1 - CUSTOS!$M$38)</f>
        <v>0</v>
      </c>
      <c r="P23" s="30">
        <f>('TE BE'!$Q$23+'TE BF'!$Q$23+'TE CVA'!$Q$23)*(1 - CUSTOS!$M$38)</f>
        <v>212.24710244942861</v>
      </c>
      <c r="Q23" s="30">
        <f>('TE BE'!$S$23+'TE BF'!$S$23+'TE CVA'!$S$23)*(1 - CUSTOS!$M$38)</f>
        <v>0</v>
      </c>
      <c r="R23" s="30">
        <f>('TE BE'!$T$23+'TE BF'!$T$23+'TE CVA'!$T$23)*(1 - CUSTOS!$M$38)</f>
        <v>0</v>
      </c>
      <c r="S23" s="30">
        <f>('TE BE'!$U$23+'TE BF'!$U$23+'TE CVA'!$U$23)*(1 - CUSTOS!$M$38)</f>
        <v>0</v>
      </c>
      <c r="T23" s="30">
        <f>('TE BE'!$W$23+'TE BF'!$W$23+'TE CVA'!$W$23)*(1 - CUSTOS!$M$38)</f>
        <v>0</v>
      </c>
      <c r="U23" s="30">
        <f>('TE BE'!$Y$23+'TE BF'!$Y$23+'TE CVA'!$Y$23)*(1 - CUSTOS!$M$38)</f>
        <v>0</v>
      </c>
      <c r="W23" s="30">
        <v>0</v>
      </c>
      <c r="X23" s="30">
        <v>0</v>
      </c>
      <c r="Y23" s="30">
        <v>0</v>
      </c>
      <c r="Z23" s="30">
        <v>0</v>
      </c>
      <c r="AA23" s="30">
        <v>181.48615755298201</v>
      </c>
      <c r="AB23" s="30">
        <v>0</v>
      </c>
      <c r="AC23" s="30">
        <v>0</v>
      </c>
      <c r="AD23" s="30">
        <v>0</v>
      </c>
      <c r="AE23" s="30">
        <v>-3.9594249873229499</v>
      </c>
      <c r="AF23" s="30">
        <v>0</v>
      </c>
    </row>
    <row r="24" spans="1:32" ht="11.25" customHeight="1" x14ac:dyDescent="0.3">
      <c r="A24" s="129"/>
      <c r="B24" s="129" t="s">
        <v>66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2" t="s">
        <v>68</v>
      </c>
      <c r="H24" s="32" t="s">
        <v>67</v>
      </c>
      <c r="I24" s="32">
        <f>'MERCADO TE'!$U$21</f>
        <v>0</v>
      </c>
      <c r="J24" s="17"/>
      <c r="L24" s="30">
        <f>('TE BE'!$L$24+'TE BF'!$L$24+'TE CVA'!$L$24)*(1 - CUSTOS!$M$39)</f>
        <v>0</v>
      </c>
      <c r="M24" s="30">
        <f>('TE BE'!$M$24+'TE BF'!$M$24+'TE CVA'!$M$24)*(1 - CUSTOS!$M$39)</f>
        <v>0</v>
      </c>
      <c r="N24" s="30">
        <f>('TE BE'!$N$24+'TE BF'!$N$24+'TE CVA'!$N$24)*(1 - CUSTOS!$M$39)</f>
        <v>0</v>
      </c>
      <c r="O24" s="30">
        <f>('TE BE'!$O$24+'TE BF'!$O$24+'TE CVA'!$O$24)*(1 - CUSTOS!$M$39)</f>
        <v>0</v>
      </c>
      <c r="P24" s="30">
        <f>('TE BE'!$Q$24+'TE BF'!$Q$24+'TE CVA'!$Q$24)*(1 - CUSTOS!$M$39)</f>
        <v>212.24710244942861</v>
      </c>
      <c r="Q24" s="30">
        <f>('TE BE'!$S$24+'TE BF'!$S$24+'TE CVA'!$S$24)*(1 - CUSTOS!$M$39)</f>
        <v>0</v>
      </c>
      <c r="R24" s="30">
        <f>('TE BE'!$T$24+'TE BF'!$T$24+'TE CVA'!$T$24)*(1 - CUSTOS!$M$39)</f>
        <v>0</v>
      </c>
      <c r="S24" s="30">
        <f>('TE BE'!$U$24+'TE BF'!$U$24+'TE CVA'!$U$24)*(1 - CUSTOS!$M$39)</f>
        <v>0</v>
      </c>
      <c r="T24" s="30">
        <f>('TE BE'!$W$24+'TE BF'!$W$24+'TE CVA'!$W$24)*(1 - CUSTOS!$M$39)</f>
        <v>0</v>
      </c>
      <c r="U24" s="30">
        <f>('TE BE'!$Y$24+'TE BF'!$Y$24+'TE CVA'!$Y$24)*(1 - CUSTOS!$M$39)</f>
        <v>0</v>
      </c>
      <c r="W24" s="30">
        <v>0</v>
      </c>
      <c r="X24" s="30">
        <v>0</v>
      </c>
      <c r="Y24" s="30">
        <v>0</v>
      </c>
      <c r="Z24" s="30">
        <v>0</v>
      </c>
      <c r="AA24" s="30">
        <v>181.48615755298201</v>
      </c>
      <c r="AB24" s="30">
        <v>0</v>
      </c>
      <c r="AC24" s="30">
        <v>0</v>
      </c>
      <c r="AD24" s="30">
        <v>0</v>
      </c>
      <c r="AE24" s="30">
        <v>-3.9594249873229499</v>
      </c>
      <c r="AF24" s="30">
        <v>0</v>
      </c>
    </row>
    <row r="25" spans="1:32" ht="11.25" customHeight="1" x14ac:dyDescent="0.3">
      <c r="A25" s="129"/>
      <c r="B25" s="129"/>
      <c r="C25" s="129"/>
      <c r="D25" s="129"/>
      <c r="E25" s="129"/>
      <c r="F25" s="129"/>
      <c r="G25" s="32" t="s">
        <v>80</v>
      </c>
      <c r="H25" s="32" t="s">
        <v>67</v>
      </c>
      <c r="I25" s="32">
        <f>'MERCADO TE'!$U$22</f>
        <v>0</v>
      </c>
      <c r="J25" s="17"/>
      <c r="L25" s="30">
        <f>('TE BE'!$L$25+'TE BF'!$L$25+'TE CVA'!$L$25)*(1 - CUSTOS!$M$39)</f>
        <v>0</v>
      </c>
      <c r="M25" s="30">
        <f>('TE BE'!$M$25+'TE BF'!$M$25+'TE CVA'!$M$25)*(1 - CUSTOS!$M$39)</f>
        <v>0</v>
      </c>
      <c r="N25" s="30">
        <f>('TE BE'!$N$25+'TE BF'!$N$25+'TE CVA'!$N$25)*(1 - CUSTOS!$M$39)</f>
        <v>0</v>
      </c>
      <c r="O25" s="30">
        <f>('TE BE'!$O$25+'TE BF'!$O$25+'TE CVA'!$O$25)*(1 - CUSTOS!$M$39)</f>
        <v>0</v>
      </c>
      <c r="P25" s="30">
        <f>('TE BE'!$Q$25+'TE BF'!$Q$25+'TE CVA'!$Q$25)*(1 - CUSTOS!$M$39)</f>
        <v>212.24710244942861</v>
      </c>
      <c r="Q25" s="30">
        <f>('TE BE'!$S$25+'TE BF'!$S$25+'TE CVA'!$S$25)*(1 - CUSTOS!$M$39)</f>
        <v>0</v>
      </c>
      <c r="R25" s="30">
        <f>('TE BE'!$T$25+'TE BF'!$T$25+'TE CVA'!$T$25)*(1 - CUSTOS!$M$39)</f>
        <v>0</v>
      </c>
      <c r="S25" s="30">
        <f>('TE BE'!$U$25+'TE BF'!$U$25+'TE CVA'!$U$25)*(1 - CUSTOS!$M$39)</f>
        <v>0</v>
      </c>
      <c r="T25" s="30">
        <f>('TE BE'!$W$25+'TE BF'!$W$25+'TE CVA'!$W$25)*(1 - CUSTOS!$M$39)</f>
        <v>0</v>
      </c>
      <c r="U25" s="30">
        <f>('TE BE'!$Y$25+'TE BF'!$Y$25+'TE CVA'!$Y$25)*(1 - CUSTOS!$M$39)</f>
        <v>0</v>
      </c>
      <c r="W25" s="30">
        <v>0</v>
      </c>
      <c r="X25" s="30">
        <v>0</v>
      </c>
      <c r="Y25" s="30">
        <v>0</v>
      </c>
      <c r="Z25" s="30">
        <v>0</v>
      </c>
      <c r="AA25" s="30">
        <v>181.48615755298201</v>
      </c>
      <c r="AB25" s="30">
        <v>0</v>
      </c>
      <c r="AC25" s="30">
        <v>0</v>
      </c>
      <c r="AD25" s="30">
        <v>0</v>
      </c>
      <c r="AE25" s="30">
        <v>-3.9594249873229499</v>
      </c>
      <c r="AF25" s="30">
        <v>0</v>
      </c>
    </row>
    <row r="26" spans="1:32" ht="11.25" customHeight="1" x14ac:dyDescent="0.3">
      <c r="A26" s="129"/>
      <c r="B26" s="129"/>
      <c r="C26" s="129"/>
      <c r="D26" s="129"/>
      <c r="E26" s="129"/>
      <c r="F26" s="129"/>
      <c r="G26" s="32" t="s">
        <v>69</v>
      </c>
      <c r="H26" s="32" t="s">
        <v>67</v>
      </c>
      <c r="I26" s="32">
        <f>'MERCADO TE'!$U$23</f>
        <v>0</v>
      </c>
      <c r="J26" s="17"/>
      <c r="L26" s="30">
        <f>('TE BE'!$L$26+'TE BF'!$L$26+'TE CVA'!$L$26)*(1 - CUSTOS!$M$39)</f>
        <v>0</v>
      </c>
      <c r="M26" s="30">
        <f>('TE BE'!$M$26+'TE BF'!$M$26+'TE CVA'!$M$26)*(1 - CUSTOS!$M$39)</f>
        <v>0</v>
      </c>
      <c r="N26" s="30">
        <f>('TE BE'!$N$26+'TE BF'!$N$26+'TE CVA'!$N$26)*(1 - CUSTOS!$M$39)</f>
        <v>0</v>
      </c>
      <c r="O26" s="30">
        <f>('TE BE'!$O$26+'TE BF'!$O$26+'TE CVA'!$O$26)*(1 - CUSTOS!$M$39)</f>
        <v>0</v>
      </c>
      <c r="P26" s="30">
        <f>('TE BE'!$Q$26+'TE BF'!$Q$26+'TE CVA'!$Q$26)*(1 - CUSTOS!$M$39)</f>
        <v>212.24710244942861</v>
      </c>
      <c r="Q26" s="30">
        <f>('TE BE'!$S$26+'TE BF'!$S$26+'TE CVA'!$S$26)*(1 - CUSTOS!$M$39)</f>
        <v>0</v>
      </c>
      <c r="R26" s="30">
        <f>('TE BE'!$T$26+'TE BF'!$T$26+'TE CVA'!$T$26)*(1 - CUSTOS!$M$39)</f>
        <v>0</v>
      </c>
      <c r="S26" s="30">
        <f>('TE BE'!$U$26+'TE BF'!$U$26+'TE CVA'!$U$26)*(1 - CUSTOS!$M$39)</f>
        <v>0</v>
      </c>
      <c r="T26" s="30">
        <f>('TE BE'!$W$26+'TE BF'!$W$26+'TE CVA'!$W$26)*(1 - CUSTOS!$M$39)</f>
        <v>0</v>
      </c>
      <c r="U26" s="30">
        <f>('TE BE'!$Y$26+'TE BF'!$Y$26+'TE CVA'!$Y$26)*(1 - CUSTOS!$M$39)</f>
        <v>0</v>
      </c>
      <c r="W26" s="30">
        <v>0</v>
      </c>
      <c r="X26" s="30">
        <v>0</v>
      </c>
      <c r="Y26" s="30">
        <v>0</v>
      </c>
      <c r="Z26" s="30">
        <v>0</v>
      </c>
      <c r="AA26" s="30">
        <v>181.48615755298201</v>
      </c>
      <c r="AB26" s="30">
        <v>0</v>
      </c>
      <c r="AC26" s="30">
        <v>0</v>
      </c>
      <c r="AD26" s="30">
        <v>0</v>
      </c>
      <c r="AE26" s="30">
        <v>-3.9594249873229499</v>
      </c>
      <c r="AF26" s="30">
        <v>0</v>
      </c>
    </row>
    <row r="27" spans="1:32" ht="11.25" customHeight="1" x14ac:dyDescent="0.3">
      <c r="A27" s="129"/>
      <c r="B27" s="81" t="s">
        <v>81</v>
      </c>
      <c r="C27" s="81" t="s">
        <v>41</v>
      </c>
      <c r="D27" s="81" t="s">
        <v>85</v>
      </c>
      <c r="E27" s="81" t="s">
        <v>25</v>
      </c>
      <c r="F27" s="81" t="s">
        <v>25</v>
      </c>
      <c r="G27" s="32" t="s">
        <v>74</v>
      </c>
      <c r="H27" s="32" t="s">
        <v>67</v>
      </c>
      <c r="I27" s="32">
        <f>'MERCADO TE'!$U$24</f>
        <v>0</v>
      </c>
      <c r="J27" s="17"/>
      <c r="L27" s="30">
        <f>('TE BE'!$L$27+'TE BF'!$L$27+'TE CVA'!$L$27)*(1 - CUSTOS!$M$39)</f>
        <v>0</v>
      </c>
      <c r="M27" s="30">
        <f>('TE BE'!$M$27+'TE BF'!$M$27+'TE CVA'!$M$27)*(1 - CUSTOS!$M$39)</f>
        <v>0</v>
      </c>
      <c r="N27" s="30">
        <f>('TE BE'!$N$27+'TE BF'!$N$27+'TE CVA'!$N$27)*(1 - CUSTOS!$M$39)</f>
        <v>0</v>
      </c>
      <c r="O27" s="30">
        <f>('TE BE'!$O$27+'TE BF'!$O$27+'TE CVA'!$O$27)*(1 - CUSTOS!$M$39)</f>
        <v>0</v>
      </c>
      <c r="P27" s="30">
        <f>('TE BE'!$Q$27+'TE BF'!$Q$27+'TE CVA'!$Q$27)*(1 - CUSTOS!$M$39)</f>
        <v>212.24710244942861</v>
      </c>
      <c r="Q27" s="30">
        <f>('TE BE'!$S$27+'TE BF'!$S$27+'TE CVA'!$S$27)*(1 - CUSTOS!$M$39)</f>
        <v>0</v>
      </c>
      <c r="R27" s="30">
        <f>('TE BE'!$T$27+'TE BF'!$T$27+'TE CVA'!$T$27)*(1 - CUSTOS!$M$39)</f>
        <v>0</v>
      </c>
      <c r="S27" s="30">
        <f>('TE BE'!$U$27+'TE BF'!$U$27+'TE CVA'!$U$27)*(1 - CUSTOS!$M$39)</f>
        <v>0</v>
      </c>
      <c r="T27" s="30">
        <f>('TE BE'!$W$27+'TE BF'!$W$27+'TE CVA'!$W$27)*(1 - CUSTOS!$M$39)</f>
        <v>0</v>
      </c>
      <c r="U27" s="30">
        <f>('TE BE'!$Y$27+'TE BF'!$Y$27+'TE CVA'!$Y$27)*(1 - CUSTOS!$M$39)</f>
        <v>0</v>
      </c>
      <c r="W27" s="30">
        <v>0</v>
      </c>
      <c r="X27" s="30">
        <v>0</v>
      </c>
      <c r="Y27" s="30">
        <v>0</v>
      </c>
      <c r="Z27" s="30">
        <v>0</v>
      </c>
      <c r="AA27" s="30">
        <v>181.48615755298201</v>
      </c>
      <c r="AB27" s="30">
        <v>0</v>
      </c>
      <c r="AC27" s="30">
        <v>0</v>
      </c>
      <c r="AD27" s="30">
        <v>0</v>
      </c>
      <c r="AE27" s="30">
        <v>-3.9594249873229499</v>
      </c>
      <c r="AF27" s="30">
        <v>0</v>
      </c>
    </row>
    <row r="28" spans="1:32" ht="11.25" customHeight="1" x14ac:dyDescent="0.3">
      <c r="A28" s="129"/>
      <c r="B28" s="129" t="s">
        <v>66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2" t="s">
        <v>68</v>
      </c>
      <c r="H28" s="32" t="s">
        <v>67</v>
      </c>
      <c r="I28" s="32">
        <f>'MERCADO TE'!$U$25</f>
        <v>0</v>
      </c>
      <c r="J28" s="17"/>
      <c r="L28" s="30">
        <f>('TE BE'!$L$28+'TE BF'!$L$28+'TE CVA'!$L$28)*(1 - CUSTOS!$M$40)</f>
        <v>0</v>
      </c>
      <c r="M28" s="30">
        <f>('TE BE'!$M$28+'TE BF'!$M$28+'TE CVA'!$M$28)*(1 - CUSTOS!$M$40)</f>
        <v>0</v>
      </c>
      <c r="N28" s="30">
        <f>('TE BE'!$N$28+'TE BF'!$N$28+'TE CVA'!$N$28)*(1 - CUSTOS!$M$40)</f>
        <v>0</v>
      </c>
      <c r="O28" s="30">
        <f>('TE BE'!$O$28+'TE BF'!$O$28+'TE CVA'!$O$28)*(1 - CUSTOS!$M$40)</f>
        <v>0</v>
      </c>
      <c r="P28" s="30">
        <f>('TE BE'!$Q$28+'TE BF'!$Q$28+'TE CVA'!$Q$28)*(1 - CUSTOS!$M$40)</f>
        <v>207.7312066526323</v>
      </c>
      <c r="Q28" s="30">
        <f>('TE BE'!$S$28+'TE BF'!$S$28+'TE CVA'!$S$28)*(1 - CUSTOS!$M$40)</f>
        <v>0</v>
      </c>
      <c r="R28" s="30">
        <f>('TE BE'!$T$28+'TE BF'!$T$28+'TE CVA'!$T$28)*(1 - CUSTOS!$M$40)</f>
        <v>0</v>
      </c>
      <c r="S28" s="30">
        <f>('TE BE'!$U$28+'TE BF'!$U$28+'TE CVA'!$U$28)*(1 - CUSTOS!$M$40)</f>
        <v>0</v>
      </c>
      <c r="T28" s="30">
        <f>('TE BE'!$W$28+'TE BF'!$W$28+'TE CVA'!$W$28)*(1 - CUSTOS!$M$40)</f>
        <v>0</v>
      </c>
      <c r="U28" s="30">
        <f>('TE BE'!$Y$28+'TE BF'!$Y$28+'TE CVA'!$Y$28)*(1 - CUSTOS!$M$40)</f>
        <v>0</v>
      </c>
      <c r="W28" s="30">
        <v>0</v>
      </c>
      <c r="X28" s="30">
        <v>0</v>
      </c>
      <c r="Y28" s="30">
        <v>0</v>
      </c>
      <c r="Z28" s="30">
        <v>0</v>
      </c>
      <c r="AA28" s="30">
        <v>173.236786755119</v>
      </c>
      <c r="AB28" s="30">
        <v>0</v>
      </c>
      <c r="AC28" s="30">
        <v>0</v>
      </c>
      <c r="AD28" s="30">
        <v>0</v>
      </c>
      <c r="AE28" s="30">
        <v>-3.7794511242628199</v>
      </c>
      <c r="AF28" s="30">
        <v>0</v>
      </c>
    </row>
    <row r="29" spans="1:32" ht="11.25" customHeight="1" x14ac:dyDescent="0.3">
      <c r="A29" s="129"/>
      <c r="B29" s="129"/>
      <c r="C29" s="129"/>
      <c r="D29" s="129"/>
      <c r="E29" s="129"/>
      <c r="F29" s="129"/>
      <c r="G29" s="32" t="s">
        <v>80</v>
      </c>
      <c r="H29" s="32" t="s">
        <v>67</v>
      </c>
      <c r="I29" s="32">
        <f>'MERCADO TE'!$U$26</f>
        <v>0</v>
      </c>
      <c r="J29" s="17"/>
      <c r="L29" s="30">
        <f>('TE BE'!$L$29+'TE BF'!$L$29+'TE CVA'!$L$29)*(1 - CUSTOS!$M$40)</f>
        <v>0</v>
      </c>
      <c r="M29" s="30">
        <f>('TE BE'!$M$29+'TE BF'!$M$29+'TE CVA'!$M$29)*(1 - CUSTOS!$M$40)</f>
        <v>0</v>
      </c>
      <c r="N29" s="30">
        <f>('TE BE'!$N$29+'TE BF'!$N$29+'TE CVA'!$N$29)*(1 - CUSTOS!$M$40)</f>
        <v>0</v>
      </c>
      <c r="O29" s="30">
        <f>('TE BE'!$O$29+'TE BF'!$O$29+'TE CVA'!$O$29)*(1 - CUSTOS!$M$40)</f>
        <v>0</v>
      </c>
      <c r="P29" s="30">
        <f>('TE BE'!$Q$29+'TE BF'!$Q$29+'TE CVA'!$Q$29)*(1 - CUSTOS!$M$40)</f>
        <v>207.7312066526323</v>
      </c>
      <c r="Q29" s="30">
        <f>('TE BE'!$S$29+'TE BF'!$S$29+'TE CVA'!$S$29)*(1 - CUSTOS!$M$40)</f>
        <v>0</v>
      </c>
      <c r="R29" s="30">
        <f>('TE BE'!$T$29+'TE BF'!$T$29+'TE CVA'!$T$29)*(1 - CUSTOS!$M$40)</f>
        <v>0</v>
      </c>
      <c r="S29" s="30">
        <f>('TE BE'!$U$29+'TE BF'!$U$29+'TE CVA'!$U$29)*(1 - CUSTOS!$M$40)</f>
        <v>0</v>
      </c>
      <c r="T29" s="30">
        <f>('TE BE'!$W$29+'TE BF'!$W$29+'TE CVA'!$W$29)*(1 - CUSTOS!$M$40)</f>
        <v>0</v>
      </c>
      <c r="U29" s="30">
        <f>('TE BE'!$Y$29+'TE BF'!$Y$29+'TE CVA'!$Y$29)*(1 - CUSTOS!$M$40)</f>
        <v>0</v>
      </c>
      <c r="W29" s="30">
        <v>0</v>
      </c>
      <c r="X29" s="30">
        <v>0</v>
      </c>
      <c r="Y29" s="30">
        <v>0</v>
      </c>
      <c r="Z29" s="30">
        <v>0</v>
      </c>
      <c r="AA29" s="30">
        <v>173.236786755119</v>
      </c>
      <c r="AB29" s="30">
        <v>0</v>
      </c>
      <c r="AC29" s="30">
        <v>0</v>
      </c>
      <c r="AD29" s="30">
        <v>0</v>
      </c>
      <c r="AE29" s="30">
        <v>-3.7794511242628199</v>
      </c>
      <c r="AF29" s="30">
        <v>0</v>
      </c>
    </row>
    <row r="30" spans="1:32" ht="11.25" customHeight="1" x14ac:dyDescent="0.3">
      <c r="A30" s="129"/>
      <c r="B30" s="129"/>
      <c r="C30" s="129"/>
      <c r="D30" s="129"/>
      <c r="E30" s="129"/>
      <c r="F30" s="129"/>
      <c r="G30" s="32" t="s">
        <v>69</v>
      </c>
      <c r="H30" s="32" t="s">
        <v>67</v>
      </c>
      <c r="I30" s="32">
        <f>'MERCADO TE'!$U$27</f>
        <v>0</v>
      </c>
      <c r="J30" s="17"/>
      <c r="L30" s="30">
        <f>('TE BE'!$L$30+'TE BF'!$L$30+'TE CVA'!$L$30)*(1 - CUSTOS!$M$40)</f>
        <v>0</v>
      </c>
      <c r="M30" s="30">
        <f>('TE BE'!$M$30+'TE BF'!$M$30+'TE CVA'!$M$30)*(1 - CUSTOS!$M$40)</f>
        <v>0</v>
      </c>
      <c r="N30" s="30">
        <f>('TE BE'!$N$30+'TE BF'!$N$30+'TE CVA'!$N$30)*(1 - CUSTOS!$M$40)</f>
        <v>0</v>
      </c>
      <c r="O30" s="30">
        <f>('TE BE'!$O$30+'TE BF'!$O$30+'TE CVA'!$O$30)*(1 - CUSTOS!$M$40)</f>
        <v>0</v>
      </c>
      <c r="P30" s="30">
        <f>('TE BE'!$Q$30+'TE BF'!$Q$30+'TE CVA'!$Q$30)*(1 - CUSTOS!$M$40)</f>
        <v>207.7312066526323</v>
      </c>
      <c r="Q30" s="30">
        <f>('TE BE'!$S$30+'TE BF'!$S$30+'TE CVA'!$S$30)*(1 - CUSTOS!$M$40)</f>
        <v>0</v>
      </c>
      <c r="R30" s="30">
        <f>('TE BE'!$T$30+'TE BF'!$T$30+'TE CVA'!$T$30)*(1 - CUSTOS!$M$40)</f>
        <v>0</v>
      </c>
      <c r="S30" s="30">
        <f>('TE BE'!$U$30+'TE BF'!$U$30+'TE CVA'!$U$30)*(1 - CUSTOS!$M$40)</f>
        <v>0</v>
      </c>
      <c r="T30" s="30">
        <f>('TE BE'!$W$30+'TE BF'!$W$30+'TE CVA'!$W$30)*(1 - CUSTOS!$M$40)</f>
        <v>0</v>
      </c>
      <c r="U30" s="30">
        <f>('TE BE'!$Y$30+'TE BF'!$Y$30+'TE CVA'!$Y$30)*(1 - CUSTOS!$M$40)</f>
        <v>0</v>
      </c>
      <c r="W30" s="30">
        <v>0</v>
      </c>
      <c r="X30" s="30">
        <v>0</v>
      </c>
      <c r="Y30" s="30">
        <v>0</v>
      </c>
      <c r="Z30" s="30">
        <v>0</v>
      </c>
      <c r="AA30" s="30">
        <v>173.236786755119</v>
      </c>
      <c r="AB30" s="30">
        <v>0</v>
      </c>
      <c r="AC30" s="30">
        <v>0</v>
      </c>
      <c r="AD30" s="30">
        <v>0</v>
      </c>
      <c r="AE30" s="30">
        <v>-3.7794511242628199</v>
      </c>
      <c r="AF30" s="30">
        <v>0</v>
      </c>
    </row>
    <row r="31" spans="1:32" ht="11.25" customHeight="1" x14ac:dyDescent="0.3">
      <c r="A31" s="129"/>
      <c r="B31" s="81" t="s">
        <v>81</v>
      </c>
      <c r="C31" s="81" t="s">
        <v>41</v>
      </c>
      <c r="D31" s="81" t="s">
        <v>86</v>
      </c>
      <c r="E31" s="81" t="s">
        <v>25</v>
      </c>
      <c r="F31" s="81" t="s">
        <v>25</v>
      </c>
      <c r="G31" s="32" t="s">
        <v>74</v>
      </c>
      <c r="H31" s="32" t="s">
        <v>67</v>
      </c>
      <c r="I31" s="32">
        <f>'MERCADO TE'!$U$28</f>
        <v>0</v>
      </c>
      <c r="J31" s="17"/>
      <c r="L31" s="30">
        <f>('TE BE'!$L$31+'TE BF'!$L$31+'TE CVA'!$L$31)*(1 - CUSTOS!$M$40)</f>
        <v>0</v>
      </c>
      <c r="M31" s="30">
        <f>('TE BE'!$M$31+'TE BF'!$M$31+'TE CVA'!$M$31)*(1 - CUSTOS!$M$40)</f>
        <v>0</v>
      </c>
      <c r="N31" s="30">
        <f>('TE BE'!$N$31+'TE BF'!$N$31+'TE CVA'!$N$31)*(1 - CUSTOS!$M$40)</f>
        <v>0</v>
      </c>
      <c r="O31" s="30">
        <f>('TE BE'!$O$31+'TE BF'!$O$31+'TE CVA'!$O$31)*(1 - CUSTOS!$M$40)</f>
        <v>0</v>
      </c>
      <c r="P31" s="30">
        <f>('TE BE'!$Q$31+'TE BF'!$Q$31+'TE CVA'!$Q$31)*(1 - CUSTOS!$M$40)</f>
        <v>207.7312066526323</v>
      </c>
      <c r="Q31" s="30">
        <f>('TE BE'!$S$31+'TE BF'!$S$31+'TE CVA'!$S$31)*(1 - CUSTOS!$M$40)</f>
        <v>0</v>
      </c>
      <c r="R31" s="30">
        <f>('TE BE'!$T$31+'TE BF'!$T$31+'TE CVA'!$T$31)*(1 - CUSTOS!$M$40)</f>
        <v>0</v>
      </c>
      <c r="S31" s="30">
        <f>('TE BE'!$U$31+'TE BF'!$U$31+'TE CVA'!$U$31)*(1 - CUSTOS!$M$40)</f>
        <v>0</v>
      </c>
      <c r="T31" s="30">
        <f>('TE BE'!$W$31+'TE BF'!$W$31+'TE CVA'!$W$31)*(1 - CUSTOS!$M$40)</f>
        <v>0</v>
      </c>
      <c r="U31" s="30">
        <f>('TE BE'!$Y$31+'TE BF'!$Y$31+'TE CVA'!$Y$31)*(1 - CUSTOS!$M$40)</f>
        <v>0</v>
      </c>
      <c r="W31" s="30">
        <v>0</v>
      </c>
      <c r="X31" s="30">
        <v>0</v>
      </c>
      <c r="Y31" s="30">
        <v>0</v>
      </c>
      <c r="Z31" s="30">
        <v>0</v>
      </c>
      <c r="AA31" s="30">
        <v>173.236786755119</v>
      </c>
      <c r="AB31" s="30">
        <v>0</v>
      </c>
      <c r="AC31" s="30">
        <v>0</v>
      </c>
      <c r="AD31" s="30">
        <v>0</v>
      </c>
      <c r="AE31" s="30">
        <v>-3.7794511242628199</v>
      </c>
      <c r="AF31" s="30">
        <v>0</v>
      </c>
    </row>
    <row r="32" spans="1:32" ht="11.25" customHeight="1" x14ac:dyDescent="0.3">
      <c r="A32" s="129"/>
      <c r="B32" s="129" t="s">
        <v>83</v>
      </c>
      <c r="C32" s="129" t="s">
        <v>41</v>
      </c>
      <c r="D32" s="81" t="s">
        <v>25</v>
      </c>
      <c r="E32" s="81" t="s">
        <v>25</v>
      </c>
      <c r="F32" s="81" t="s">
        <v>25</v>
      </c>
      <c r="G32" s="32" t="s">
        <v>74</v>
      </c>
      <c r="H32" s="32" t="s">
        <v>67</v>
      </c>
      <c r="I32" s="32">
        <f>'MERCADO TE'!$U$29</f>
        <v>0</v>
      </c>
      <c r="J32" s="17"/>
      <c r="L32" s="30">
        <f>('TE BE'!$L$32+'TE BF'!$L$32+'TE CVA'!$L$32)*(1 - CUSTOS!$M$38)</f>
        <v>0</v>
      </c>
      <c r="M32" s="30">
        <f>('TE BE'!$M$32+'TE BF'!$M$32+'TE CVA'!$M$32)*(1 - CUSTOS!$M$38)</f>
        <v>0</v>
      </c>
      <c r="N32" s="30">
        <f>('TE BE'!$N$32+'TE BF'!$N$32+'TE CVA'!$N$32)*(1 - CUSTOS!$M$38)</f>
        <v>0</v>
      </c>
      <c r="O32" s="30">
        <f>('TE BE'!$O$32+'TE BF'!$O$32+'TE CVA'!$O$32)*(1 - CUSTOS!$M$38)</f>
        <v>0</v>
      </c>
      <c r="P32" s="30">
        <f>('TE BE'!$Q$32+'TE BF'!$Q$32+'TE CVA'!$Q$32)*(1 - CUSTOS!$M$38)</f>
        <v>212.24710244942861</v>
      </c>
      <c r="Q32" s="30">
        <f>('TE BE'!$S$32+'TE BF'!$S$32+'TE CVA'!$S$32)*(1 - CUSTOS!$M$38)</f>
        <v>0</v>
      </c>
      <c r="R32" s="30">
        <f>('TE BE'!$T$32+'TE BF'!$T$32+'TE CVA'!$T$32)*(1 - CUSTOS!$M$38)</f>
        <v>0</v>
      </c>
      <c r="S32" s="30">
        <f>('TE BE'!$U$32+'TE BF'!$U$32+'TE CVA'!$U$32)*(1 - CUSTOS!$M$38)</f>
        <v>0</v>
      </c>
      <c r="T32" s="30">
        <f>('TE BE'!$W$32+'TE BF'!$W$32+'TE CVA'!$W$32)*(1 - CUSTOS!$M$38)</f>
        <v>0</v>
      </c>
      <c r="U32" s="30">
        <f>('TE BE'!$Y$32+'TE BF'!$Y$32+'TE CVA'!$Y$32)*(1 - CUSTOS!$M$38)</f>
        <v>0</v>
      </c>
      <c r="W32" s="30">
        <v>0</v>
      </c>
      <c r="X32" s="30">
        <v>0</v>
      </c>
      <c r="Y32" s="30">
        <v>0</v>
      </c>
      <c r="Z32" s="30">
        <v>0</v>
      </c>
      <c r="AA32" s="30">
        <v>181.48615755298201</v>
      </c>
      <c r="AB32" s="30">
        <v>0</v>
      </c>
      <c r="AC32" s="30">
        <v>0</v>
      </c>
      <c r="AD32" s="30">
        <v>0</v>
      </c>
      <c r="AE32" s="30">
        <v>-3.9594249873229499</v>
      </c>
      <c r="AF32" s="30">
        <v>0</v>
      </c>
    </row>
    <row r="33" spans="1:32" ht="11.25" customHeight="1" x14ac:dyDescent="0.3">
      <c r="A33" s="129"/>
      <c r="B33" s="129"/>
      <c r="C33" s="129"/>
      <c r="D33" s="81" t="s">
        <v>85</v>
      </c>
      <c r="E33" s="81" t="s">
        <v>25</v>
      </c>
      <c r="F33" s="81" t="s">
        <v>25</v>
      </c>
      <c r="G33" s="32" t="s">
        <v>74</v>
      </c>
      <c r="H33" s="32" t="s">
        <v>67</v>
      </c>
      <c r="I33" s="32">
        <f>'MERCADO TE'!$U$30</f>
        <v>0</v>
      </c>
      <c r="J33" s="17"/>
      <c r="L33" s="30">
        <f>('TE BE'!$L$33+'TE BF'!$L$33+'TE CVA'!$L$33)*(1 - CUSTOS!$M$39)</f>
        <v>0</v>
      </c>
      <c r="M33" s="30">
        <f>('TE BE'!$M$33+'TE BF'!$M$33+'TE CVA'!$M$33)*(1 - CUSTOS!$M$39)</f>
        <v>0</v>
      </c>
      <c r="N33" s="30">
        <f>('TE BE'!$N$33+'TE BF'!$N$33+'TE CVA'!$N$33)*(1 - CUSTOS!$M$39)</f>
        <v>0</v>
      </c>
      <c r="O33" s="30">
        <f>('TE BE'!$O$33+'TE BF'!$O$33+'TE CVA'!$O$33)*(1 - CUSTOS!$M$39)</f>
        <v>0</v>
      </c>
      <c r="P33" s="30">
        <f>('TE BE'!$Q$33+'TE BF'!$Q$33+'TE CVA'!$Q$33)*(1 - CUSTOS!$M$39)</f>
        <v>212.24710244942861</v>
      </c>
      <c r="Q33" s="30">
        <f>('TE BE'!$S$33+'TE BF'!$S$33+'TE CVA'!$S$33)*(1 - CUSTOS!$M$39)</f>
        <v>0</v>
      </c>
      <c r="R33" s="30">
        <f>('TE BE'!$T$33+'TE BF'!$T$33+'TE CVA'!$T$33)*(1 - CUSTOS!$M$39)</f>
        <v>0</v>
      </c>
      <c r="S33" s="30">
        <f>('TE BE'!$U$33+'TE BF'!$U$33+'TE CVA'!$U$33)*(1 - CUSTOS!$M$39)</f>
        <v>0</v>
      </c>
      <c r="T33" s="30">
        <f>('TE BE'!$W$33+'TE BF'!$W$33+'TE CVA'!$W$33)*(1 - CUSTOS!$M$39)</f>
        <v>0</v>
      </c>
      <c r="U33" s="30">
        <f>('TE BE'!$Y$33+'TE BF'!$Y$33+'TE CVA'!$Y$33)*(1 - CUSTOS!$M$39)</f>
        <v>0</v>
      </c>
      <c r="W33" s="30">
        <v>0</v>
      </c>
      <c r="X33" s="30">
        <v>0</v>
      </c>
      <c r="Y33" s="30">
        <v>0</v>
      </c>
      <c r="Z33" s="30">
        <v>0</v>
      </c>
      <c r="AA33" s="30">
        <v>181.48615755298201</v>
      </c>
      <c r="AB33" s="30">
        <v>0</v>
      </c>
      <c r="AC33" s="30">
        <v>0</v>
      </c>
      <c r="AD33" s="30">
        <v>0</v>
      </c>
      <c r="AE33" s="30">
        <v>-3.9594249873229499</v>
      </c>
      <c r="AF33" s="30">
        <v>0</v>
      </c>
    </row>
    <row r="34" spans="1:32" ht="11.25" customHeight="1" x14ac:dyDescent="0.3">
      <c r="A34" s="129"/>
      <c r="B34" s="129"/>
      <c r="C34" s="129"/>
      <c r="D34" s="81" t="s">
        <v>86</v>
      </c>
      <c r="E34" s="81" t="s">
        <v>25</v>
      </c>
      <c r="F34" s="81" t="s">
        <v>25</v>
      </c>
      <c r="G34" s="32" t="s">
        <v>74</v>
      </c>
      <c r="H34" s="32" t="s">
        <v>67</v>
      </c>
      <c r="I34" s="32">
        <f>'MERCADO TE'!$U$31</f>
        <v>0</v>
      </c>
      <c r="J34" s="17"/>
      <c r="L34" s="30">
        <f>('TE BE'!$L$34+'TE BF'!$L$34+'TE CVA'!$L$34)*(1 - CUSTOS!$M$40)</f>
        <v>0</v>
      </c>
      <c r="M34" s="30">
        <f>('TE BE'!$M$34+'TE BF'!$M$34+'TE CVA'!$M$34)*(1 - CUSTOS!$M$40)</f>
        <v>0</v>
      </c>
      <c r="N34" s="30">
        <f>('TE BE'!$N$34+'TE BF'!$N$34+'TE CVA'!$N$34)*(1 - CUSTOS!$M$40)</f>
        <v>0</v>
      </c>
      <c r="O34" s="30">
        <f>('TE BE'!$O$34+'TE BF'!$O$34+'TE CVA'!$O$34)*(1 - CUSTOS!$M$40)</f>
        <v>0</v>
      </c>
      <c r="P34" s="30">
        <f>('TE BE'!$Q$34+'TE BF'!$Q$34+'TE CVA'!$Q$34)*(1 - CUSTOS!$M$40)</f>
        <v>207.7312066526323</v>
      </c>
      <c r="Q34" s="30">
        <f>('TE BE'!$S$34+'TE BF'!$S$34+'TE CVA'!$S$34)*(1 - CUSTOS!$M$40)</f>
        <v>0</v>
      </c>
      <c r="R34" s="30">
        <f>('TE BE'!$T$34+'TE BF'!$T$34+'TE CVA'!$T$34)*(1 - CUSTOS!$M$40)</f>
        <v>0</v>
      </c>
      <c r="S34" s="30">
        <f>('TE BE'!$U$34+'TE BF'!$U$34+'TE CVA'!$U$34)*(1 - CUSTOS!$M$40)</f>
        <v>0</v>
      </c>
      <c r="T34" s="30">
        <f>('TE BE'!$W$34+'TE BF'!$W$34+'TE CVA'!$W$34)*(1 - CUSTOS!$M$40)</f>
        <v>0</v>
      </c>
      <c r="U34" s="30">
        <f>('TE BE'!$Y$34+'TE BF'!$Y$34+'TE CVA'!$Y$34)*(1 - CUSTOS!$M$40)</f>
        <v>0</v>
      </c>
      <c r="W34" s="30">
        <v>0</v>
      </c>
      <c r="X34" s="30">
        <v>0</v>
      </c>
      <c r="Y34" s="30">
        <v>0</v>
      </c>
      <c r="Z34" s="30">
        <v>0</v>
      </c>
      <c r="AA34" s="30">
        <v>173.236786755119</v>
      </c>
      <c r="AB34" s="30">
        <v>0</v>
      </c>
      <c r="AC34" s="30">
        <v>0</v>
      </c>
      <c r="AD34" s="30">
        <v>0</v>
      </c>
      <c r="AE34" s="30">
        <v>-3.7794511242628199</v>
      </c>
      <c r="AF34" s="30">
        <v>0</v>
      </c>
    </row>
    <row r="35" spans="1:32" ht="11.25" customHeight="1" x14ac:dyDescent="0.3">
      <c r="A35" s="129" t="s">
        <v>33</v>
      </c>
      <c r="B35" s="129" t="s">
        <v>66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2" t="s">
        <v>68</v>
      </c>
      <c r="H35" s="32" t="s">
        <v>67</v>
      </c>
      <c r="I35" s="32">
        <f>'MERCADO TE'!$U$32</f>
        <v>0</v>
      </c>
      <c r="J35" s="17"/>
      <c r="L35" s="30">
        <f>('TE BE'!$L$35+'TE BF'!$L$35+'TE CVA'!$L$35)*1</f>
        <v>0</v>
      </c>
      <c r="M35" s="30">
        <f>('TE BE'!$M$35+'TE BF'!$M$35+'TE CVA'!$M$35)*1</f>
        <v>0</v>
      </c>
      <c r="N35" s="30">
        <f>('TE BE'!$N$35+'TE BF'!$N$35+'TE CVA'!$N$35)*1</f>
        <v>0</v>
      </c>
      <c r="O35" s="30">
        <f>('TE BE'!$O$35+'TE BF'!$O$35+'TE CVA'!$O$35)*1</f>
        <v>0</v>
      </c>
      <c r="P35" s="30">
        <f>('TE BE'!$Q$35+'TE BF'!$Q$35+'TE CVA'!$Q$35)*1</f>
        <v>225.7947898398177</v>
      </c>
      <c r="Q35" s="30">
        <f>('TE BE'!$S$35+'TE BF'!$S$35+'TE CVA'!$S$35)*1</f>
        <v>0</v>
      </c>
      <c r="R35" s="30">
        <f>('TE BE'!$T$35+'TE BF'!$T$35+'TE CVA'!$T$35)*1</f>
        <v>0</v>
      </c>
      <c r="S35" s="30">
        <f>('TE BE'!$U$35+'TE BF'!$U$35+'TE CVA'!$U$35)*1</f>
        <v>0</v>
      </c>
      <c r="T35" s="30">
        <f>('TE BE'!$W$35+'TE BF'!$W$35+'TE CVA'!$W$35)*1</f>
        <v>0</v>
      </c>
      <c r="U35" s="30">
        <f>('TE BE'!$Y$35+'TE BF'!$Y$35+'TE CVA'!$Y$35)*1</f>
        <v>0</v>
      </c>
      <c r="W35" s="30">
        <v>0</v>
      </c>
      <c r="X35" s="30">
        <v>0</v>
      </c>
      <c r="Y35" s="30">
        <v>0</v>
      </c>
      <c r="Z35" s="30">
        <v>0</v>
      </c>
      <c r="AA35" s="30">
        <v>206.23426994657001</v>
      </c>
      <c r="AB35" s="30">
        <v>0</v>
      </c>
      <c r="AC35" s="30">
        <v>0</v>
      </c>
      <c r="AD35" s="30">
        <v>0</v>
      </c>
      <c r="AE35" s="30">
        <v>-4.4993465765033598</v>
      </c>
      <c r="AF35" s="30">
        <v>0</v>
      </c>
    </row>
    <row r="36" spans="1:32" ht="11.25" customHeight="1" x14ac:dyDescent="0.3">
      <c r="A36" s="129"/>
      <c r="B36" s="129"/>
      <c r="C36" s="129"/>
      <c r="D36" s="129"/>
      <c r="E36" s="129"/>
      <c r="F36" s="129"/>
      <c r="G36" s="32" t="s">
        <v>80</v>
      </c>
      <c r="H36" s="32" t="s">
        <v>67</v>
      </c>
      <c r="I36" s="32">
        <f>'MERCADO TE'!$U$33</f>
        <v>0</v>
      </c>
      <c r="J36" s="17"/>
      <c r="L36" s="30">
        <f>('TE BE'!$L$36+'TE BF'!$L$36+'TE CVA'!$L$36)*1</f>
        <v>0</v>
      </c>
      <c r="M36" s="30">
        <f>('TE BE'!$M$36+'TE BF'!$M$36+'TE CVA'!$M$36)*1</f>
        <v>0</v>
      </c>
      <c r="N36" s="30">
        <f>('TE BE'!$N$36+'TE BF'!$N$36+'TE CVA'!$N$36)*1</f>
        <v>0</v>
      </c>
      <c r="O36" s="30">
        <f>('TE BE'!$O$36+'TE BF'!$O$36+'TE CVA'!$O$36)*1</f>
        <v>0</v>
      </c>
      <c r="P36" s="30">
        <f>('TE BE'!$Q$36+'TE BF'!$Q$36+'TE CVA'!$Q$36)*1</f>
        <v>225.7947898398177</v>
      </c>
      <c r="Q36" s="30">
        <f>('TE BE'!$S$36+'TE BF'!$S$36+'TE CVA'!$S$36)*1</f>
        <v>0</v>
      </c>
      <c r="R36" s="30">
        <f>('TE BE'!$T$36+'TE BF'!$T$36+'TE CVA'!$T$36)*1</f>
        <v>0</v>
      </c>
      <c r="S36" s="30">
        <f>('TE BE'!$U$36+'TE BF'!$U$36+'TE CVA'!$U$36)*1</f>
        <v>0</v>
      </c>
      <c r="T36" s="30">
        <f>('TE BE'!$W$36+'TE BF'!$W$36+'TE CVA'!$W$36)*1</f>
        <v>0</v>
      </c>
      <c r="U36" s="30">
        <f>('TE BE'!$Y$36+'TE BF'!$Y$36+'TE CVA'!$Y$36)*1</f>
        <v>0</v>
      </c>
      <c r="W36" s="30">
        <v>0</v>
      </c>
      <c r="X36" s="30">
        <v>0</v>
      </c>
      <c r="Y36" s="30">
        <v>0</v>
      </c>
      <c r="Z36" s="30">
        <v>0</v>
      </c>
      <c r="AA36" s="30">
        <v>206.23426994657001</v>
      </c>
      <c r="AB36" s="30">
        <v>0</v>
      </c>
      <c r="AC36" s="30">
        <v>0</v>
      </c>
      <c r="AD36" s="30">
        <v>0</v>
      </c>
      <c r="AE36" s="30">
        <v>-4.4993465765033598</v>
      </c>
      <c r="AF36" s="30">
        <v>0</v>
      </c>
    </row>
    <row r="37" spans="1:32" ht="11.25" customHeight="1" x14ac:dyDescent="0.3">
      <c r="A37" s="129"/>
      <c r="B37" s="129"/>
      <c r="C37" s="129"/>
      <c r="D37" s="129"/>
      <c r="E37" s="129"/>
      <c r="F37" s="129"/>
      <c r="G37" s="32" t="s">
        <v>69</v>
      </c>
      <c r="H37" s="32" t="s">
        <v>67</v>
      </c>
      <c r="I37" s="32">
        <f>'MERCADO TE'!$U$34</f>
        <v>0</v>
      </c>
      <c r="J37" s="17"/>
      <c r="L37" s="30">
        <f>('TE BE'!$L$37+'TE BF'!$L$37+'TE CVA'!$L$37)*1</f>
        <v>0</v>
      </c>
      <c r="M37" s="30">
        <f>('TE BE'!$M$37+'TE BF'!$M$37+'TE CVA'!$M$37)*1</f>
        <v>0</v>
      </c>
      <c r="N37" s="30">
        <f>('TE BE'!$N$37+'TE BF'!$N$37+'TE CVA'!$N$37)*1</f>
        <v>0</v>
      </c>
      <c r="O37" s="30">
        <f>('TE BE'!$O$37+'TE BF'!$O$37+'TE CVA'!$O$37)*1</f>
        <v>0</v>
      </c>
      <c r="P37" s="30">
        <f>('TE BE'!$Q$37+'TE BF'!$Q$37+'TE CVA'!$Q$37)*1</f>
        <v>225.7947898398177</v>
      </c>
      <c r="Q37" s="30">
        <f>('TE BE'!$S$37+'TE BF'!$S$37+'TE CVA'!$S$37)*1</f>
        <v>0</v>
      </c>
      <c r="R37" s="30">
        <f>('TE BE'!$T$37+'TE BF'!$T$37+'TE CVA'!$T$37)*1</f>
        <v>0</v>
      </c>
      <c r="S37" s="30">
        <f>('TE BE'!$U$37+'TE BF'!$U$37+'TE CVA'!$U$37)*1</f>
        <v>0</v>
      </c>
      <c r="T37" s="30">
        <f>('TE BE'!$W$37+'TE BF'!$W$37+'TE CVA'!$W$37)*1</f>
        <v>0</v>
      </c>
      <c r="U37" s="30">
        <f>('TE BE'!$Y$37+'TE BF'!$Y$37+'TE CVA'!$Y$37)*1</f>
        <v>0</v>
      </c>
      <c r="W37" s="30">
        <v>0</v>
      </c>
      <c r="X37" s="30">
        <v>0</v>
      </c>
      <c r="Y37" s="30">
        <v>0</v>
      </c>
      <c r="Z37" s="30">
        <v>0</v>
      </c>
      <c r="AA37" s="30">
        <v>206.23426994657001</v>
      </c>
      <c r="AB37" s="30">
        <v>0</v>
      </c>
      <c r="AC37" s="30">
        <v>0</v>
      </c>
      <c r="AD37" s="30">
        <v>0</v>
      </c>
      <c r="AE37" s="30">
        <v>-4.4993465765033598</v>
      </c>
      <c r="AF37" s="30">
        <v>0</v>
      </c>
    </row>
    <row r="38" spans="1:32" ht="11.25" customHeight="1" x14ac:dyDescent="0.3">
      <c r="A38" s="129"/>
      <c r="B38" s="81" t="s">
        <v>81</v>
      </c>
      <c r="C38" s="81" t="s">
        <v>25</v>
      </c>
      <c r="D38" s="81" t="s">
        <v>25</v>
      </c>
      <c r="E38" s="81" t="s">
        <v>25</v>
      </c>
      <c r="F38" s="81" t="s">
        <v>25</v>
      </c>
      <c r="G38" s="32" t="s">
        <v>74</v>
      </c>
      <c r="H38" s="32" t="s">
        <v>67</v>
      </c>
      <c r="I38" s="32">
        <f>'MERCADO TE'!$U$35</f>
        <v>6518.4639999999999</v>
      </c>
      <c r="J38" s="17"/>
      <c r="L38" s="30">
        <f>('TE BE'!$L$38+'TE BF'!$L$38+'TE CVA'!$L$38)*1</f>
        <v>0</v>
      </c>
      <c r="M38" s="30">
        <f>('TE BE'!$M$38+'TE BF'!$M$38+'TE CVA'!$M$38)*1</f>
        <v>0</v>
      </c>
      <c r="N38" s="30">
        <f>('TE BE'!$N$38+'TE BF'!$N$38+'TE CVA'!$N$38)*1</f>
        <v>0</v>
      </c>
      <c r="O38" s="30">
        <f>('TE BE'!$O$38+'TE BF'!$O$38+'TE CVA'!$O$38)*1</f>
        <v>0</v>
      </c>
      <c r="P38" s="30">
        <f>('TE BE'!$Q$38+'TE BF'!$Q$38+'TE CVA'!$Q$38)*1</f>
        <v>225.7947898398177</v>
      </c>
      <c r="Q38" s="30">
        <f>('TE BE'!$S$38+'TE BF'!$S$38+'TE CVA'!$S$38)*1</f>
        <v>0</v>
      </c>
      <c r="R38" s="30">
        <f>('TE BE'!$T$38+'TE BF'!$T$38+'TE CVA'!$T$38)*1</f>
        <v>0</v>
      </c>
      <c r="S38" s="30">
        <f>('TE BE'!$U$38+'TE BF'!$U$38+'TE CVA'!$U$38)*1</f>
        <v>0</v>
      </c>
      <c r="T38" s="30">
        <f>('TE BE'!$W$38+'TE BF'!$W$38+'TE CVA'!$W$38)*1</f>
        <v>0</v>
      </c>
      <c r="U38" s="30">
        <f>('TE BE'!$Y$38+'TE BF'!$Y$38+'TE CVA'!$Y$38)*1</f>
        <v>0</v>
      </c>
      <c r="W38" s="30">
        <v>0</v>
      </c>
      <c r="X38" s="30">
        <v>0</v>
      </c>
      <c r="Y38" s="30">
        <v>0</v>
      </c>
      <c r="Z38" s="30">
        <v>0</v>
      </c>
      <c r="AA38" s="30">
        <v>206.23426994657001</v>
      </c>
      <c r="AB38" s="30">
        <v>0</v>
      </c>
      <c r="AC38" s="30">
        <v>0</v>
      </c>
      <c r="AD38" s="30">
        <v>0</v>
      </c>
      <c r="AE38" s="30">
        <v>-4.4993465765033598</v>
      </c>
      <c r="AF38" s="30">
        <v>0</v>
      </c>
    </row>
    <row r="39" spans="1:32" ht="11.25" customHeight="1" x14ac:dyDescent="0.3">
      <c r="A39" s="129"/>
      <c r="B39" s="81" t="s">
        <v>83</v>
      </c>
      <c r="C39" s="81" t="s">
        <v>25</v>
      </c>
      <c r="D39" s="81" t="s">
        <v>25</v>
      </c>
      <c r="E39" s="81" t="s">
        <v>25</v>
      </c>
      <c r="F39" s="81" t="s">
        <v>25</v>
      </c>
      <c r="G39" s="32" t="s">
        <v>74</v>
      </c>
      <c r="H39" s="32" t="s">
        <v>67</v>
      </c>
      <c r="I39" s="32">
        <f>'MERCADO TE'!$U$36</f>
        <v>0</v>
      </c>
      <c r="J39" s="17"/>
      <c r="L39" s="30">
        <f>('TE BE'!$L$39+'TE BF'!$L$39+'TE CVA'!$L$39)*1</f>
        <v>0</v>
      </c>
      <c r="M39" s="30">
        <f>('TE BE'!$M$39+'TE BF'!$M$39+'TE CVA'!$M$39)*1</f>
        <v>0</v>
      </c>
      <c r="N39" s="30">
        <f>('TE BE'!$N$39+'TE BF'!$N$39+'TE CVA'!$N$39)*1</f>
        <v>0</v>
      </c>
      <c r="O39" s="30">
        <f>('TE BE'!$O$39+'TE BF'!$O$39+'TE CVA'!$O$39)*1</f>
        <v>0</v>
      </c>
      <c r="P39" s="30">
        <f>('TE BE'!$Q$39+'TE BF'!$Q$39+'TE CVA'!$Q$39)*1</f>
        <v>225.7947898398177</v>
      </c>
      <c r="Q39" s="30">
        <f>('TE BE'!$S$39+'TE BF'!$S$39+'TE CVA'!$S$39)*1</f>
        <v>0</v>
      </c>
      <c r="R39" s="30">
        <f>('TE BE'!$T$39+'TE BF'!$T$39+'TE CVA'!$T$39)*1</f>
        <v>0</v>
      </c>
      <c r="S39" s="30">
        <f>('TE BE'!$U$39+'TE BF'!$U$39+'TE CVA'!$U$39)*1</f>
        <v>0</v>
      </c>
      <c r="T39" s="30">
        <f>('TE BE'!$W$39+'TE BF'!$W$39+'TE CVA'!$W$39)*1</f>
        <v>0</v>
      </c>
      <c r="U39" s="30">
        <f>('TE BE'!$Y$39+'TE BF'!$Y$39+'TE CVA'!$Y$39)*1</f>
        <v>0</v>
      </c>
      <c r="W39" s="30">
        <v>0</v>
      </c>
      <c r="X39" s="30">
        <v>0</v>
      </c>
      <c r="Y39" s="30">
        <v>0</v>
      </c>
      <c r="Z39" s="30">
        <v>0</v>
      </c>
      <c r="AA39" s="30">
        <v>206.23426994657001</v>
      </c>
      <c r="AB39" s="30">
        <v>0</v>
      </c>
      <c r="AC39" s="30">
        <v>0</v>
      </c>
      <c r="AD39" s="30">
        <v>0</v>
      </c>
      <c r="AE39" s="30">
        <v>-4.4993465765033598</v>
      </c>
      <c r="AF39" s="30">
        <v>0</v>
      </c>
    </row>
    <row r="40" spans="1:32" ht="11.25" customHeight="1" x14ac:dyDescent="0.3">
      <c r="A40" s="129" t="s">
        <v>43</v>
      </c>
      <c r="B40" s="129" t="s">
        <v>81</v>
      </c>
      <c r="C40" s="129" t="s">
        <v>44</v>
      </c>
      <c r="D40" s="81" t="s">
        <v>45</v>
      </c>
      <c r="E40" s="81" t="s">
        <v>25</v>
      </c>
      <c r="F40" s="81" t="s">
        <v>25</v>
      </c>
      <c r="G40" s="32" t="s">
        <v>74</v>
      </c>
      <c r="H40" s="32" t="s">
        <v>67</v>
      </c>
      <c r="I40" s="32">
        <f>'MERCADO TE'!$U$37</f>
        <v>665.90099999999984</v>
      </c>
      <c r="J40" s="17"/>
      <c r="L40" s="30">
        <f>('TE BE'!$L$40+'TE BF'!$L$40+'TE CVA'!$L$40)*1</f>
        <v>0</v>
      </c>
      <c r="M40" s="30">
        <f>('TE BE'!$M$40+'TE BF'!$M$40+'TE CVA'!$M$40)*1</f>
        <v>0</v>
      </c>
      <c r="N40" s="30">
        <f>('TE BE'!$N$40+'TE BF'!$N$40+'TE CVA'!$N$40)*1</f>
        <v>0</v>
      </c>
      <c r="O40" s="30">
        <f>('TE BE'!$O$40+'TE BF'!$O$40+'TE CVA'!$O$40)*1</f>
        <v>0</v>
      </c>
      <c r="P40" s="30">
        <f>('TE BE'!$Q$40+'TE BF'!$Q$40+'TE CVA'!$Q$40)*1</f>
        <v>119.67123861510339</v>
      </c>
      <c r="Q40" s="30">
        <f>('TE BE'!$S$40+'TE BF'!$S$40+'TE CVA'!$S$40)*1</f>
        <v>0</v>
      </c>
      <c r="R40" s="30">
        <f>('TE BE'!$T$40+'TE BF'!$T$40+'TE CVA'!$T$40)*1</f>
        <v>0</v>
      </c>
      <c r="S40" s="30">
        <f>('TE BE'!$U$40+'TE BF'!$U$40+'TE CVA'!$U$40)*1</f>
        <v>0</v>
      </c>
      <c r="T40" s="30">
        <f>('TE BE'!$W$40+'TE BF'!$W$40+'TE CVA'!$W$40)*1</f>
        <v>0</v>
      </c>
      <c r="U40" s="30">
        <f>('TE BE'!$Y$40+'TE BF'!$Y$40+'TE CVA'!$Y$40)*1</f>
        <v>0</v>
      </c>
      <c r="W40" s="30">
        <v>0</v>
      </c>
      <c r="X40" s="30">
        <v>0</v>
      </c>
      <c r="Y40" s="30">
        <v>0</v>
      </c>
      <c r="Z40" s="30">
        <v>0</v>
      </c>
      <c r="AA40" s="30">
        <v>109.304163071682</v>
      </c>
      <c r="AB40" s="30">
        <v>0</v>
      </c>
      <c r="AC40" s="30">
        <v>0</v>
      </c>
      <c r="AD40" s="30">
        <v>0</v>
      </c>
      <c r="AE40" s="30">
        <v>-2.3846536855467799</v>
      </c>
      <c r="AF40" s="30">
        <v>0</v>
      </c>
    </row>
    <row r="41" spans="1:32" ht="11.25" customHeight="1" x14ac:dyDescent="0.3">
      <c r="A41" s="129"/>
      <c r="B41" s="129"/>
      <c r="C41" s="129"/>
      <c r="D41" s="32" t="s">
        <v>87</v>
      </c>
      <c r="E41" s="32" t="s">
        <v>25</v>
      </c>
      <c r="F41" s="32" t="s">
        <v>25</v>
      </c>
      <c r="G41" s="32" t="s">
        <v>74</v>
      </c>
      <c r="H41" s="32" t="s">
        <v>67</v>
      </c>
      <c r="I41" s="32">
        <f>'MERCADO TE'!$U$38</f>
        <v>0</v>
      </c>
      <c r="J41" s="17"/>
      <c r="L41" s="30">
        <f>('TE BE'!$L$41+'TE BF'!$L$41+'TE CVA'!$L$41)*1</f>
        <v>0</v>
      </c>
      <c r="M41" s="30">
        <f>('TE BE'!$M$41+'TE BF'!$M$41+'TE CVA'!$M$41)*1</f>
        <v>0</v>
      </c>
      <c r="N41" s="30">
        <f>('TE BE'!$N$41+'TE BF'!$N$41+'TE CVA'!$N$41)*1</f>
        <v>0</v>
      </c>
      <c r="O41" s="30">
        <f>('TE BE'!$O$41+'TE BF'!$O$41+'TE CVA'!$O$41)*1</f>
        <v>0</v>
      </c>
      <c r="P41" s="30">
        <f>('TE BE'!$Q$41+'TE BF'!$Q$41+'TE CVA'!$Q$41)*1</f>
        <v>130.96097810709426</v>
      </c>
      <c r="Q41" s="30">
        <f>('TE BE'!$S$41+'TE BF'!$S$41+'TE CVA'!$S$41)*1</f>
        <v>0</v>
      </c>
      <c r="R41" s="30">
        <f>('TE BE'!$T$41+'TE BF'!$T$41+'TE CVA'!$T$41)*1</f>
        <v>0</v>
      </c>
      <c r="S41" s="30">
        <f>('TE BE'!$U$41+'TE BF'!$U$41+'TE CVA'!$U$41)*1</f>
        <v>0</v>
      </c>
      <c r="T41" s="30">
        <f>('TE BE'!$W$41+'TE BF'!$W$41+'TE CVA'!$W$41)*1</f>
        <v>0</v>
      </c>
      <c r="U41" s="30">
        <f>('TE BE'!$Y$41+'TE BF'!$Y$41+'TE CVA'!$Y$41)*1</f>
        <v>0</v>
      </c>
      <c r="W41" s="30">
        <v>0</v>
      </c>
      <c r="X41" s="30">
        <v>0</v>
      </c>
      <c r="Y41" s="30">
        <v>0</v>
      </c>
      <c r="Z41" s="30">
        <v>0</v>
      </c>
      <c r="AA41" s="30">
        <v>119.61587656901099</v>
      </c>
      <c r="AB41" s="30">
        <v>0</v>
      </c>
      <c r="AC41" s="30">
        <v>0</v>
      </c>
      <c r="AD41" s="30">
        <v>0</v>
      </c>
      <c r="AE41" s="30">
        <v>-2.60962101437195</v>
      </c>
      <c r="AF41" s="30">
        <v>0</v>
      </c>
    </row>
    <row r="43" spans="1:32" ht="11.25" customHeight="1" x14ac:dyDescent="0.3">
      <c r="L43" s="131" t="s">
        <v>819</v>
      </c>
      <c r="M43" s="131"/>
      <c r="N43" s="131"/>
      <c r="O43" s="131"/>
      <c r="P43" s="131"/>
      <c r="Q43" s="131"/>
      <c r="R43" s="131"/>
      <c r="S43" s="131"/>
      <c r="T43" s="131"/>
      <c r="U43" s="131"/>
      <c r="W43" s="131" t="s">
        <v>820</v>
      </c>
      <c r="X43" s="131"/>
      <c r="Y43" s="131"/>
      <c r="Z43" s="131"/>
      <c r="AA43" s="131"/>
      <c r="AB43" s="131"/>
      <c r="AC43" s="131"/>
      <c r="AD43" s="131"/>
      <c r="AE43" s="131"/>
      <c r="AF43" s="131"/>
    </row>
    <row r="44" spans="1:32" ht="11.25" customHeight="1" x14ac:dyDescent="0.3">
      <c r="L44" s="131" t="s">
        <v>375</v>
      </c>
      <c r="M44" s="131"/>
      <c r="N44" s="131"/>
      <c r="O44" s="131"/>
      <c r="P44" s="131"/>
      <c r="Q44" s="131"/>
      <c r="R44" s="131"/>
      <c r="S44" s="131"/>
      <c r="T44" s="131"/>
      <c r="U44" s="131"/>
      <c r="W44" s="131" t="s">
        <v>375</v>
      </c>
      <c r="X44" s="131"/>
      <c r="Y44" s="131"/>
      <c r="Z44" s="131"/>
      <c r="AA44" s="131"/>
      <c r="AB44" s="131"/>
      <c r="AC44" s="131"/>
      <c r="AD44" s="131"/>
      <c r="AE44" s="131"/>
      <c r="AF44" s="131"/>
    </row>
    <row r="45" spans="1:32" ht="11.25" customHeight="1" x14ac:dyDescent="0.3">
      <c r="L45" s="131" t="s">
        <v>348</v>
      </c>
      <c r="M45" s="131"/>
      <c r="N45" s="131"/>
      <c r="O45" s="131"/>
      <c r="P45" s="82" t="s">
        <v>378</v>
      </c>
      <c r="Q45" s="131" t="s">
        <v>357</v>
      </c>
      <c r="R45" s="131"/>
      <c r="S45" s="131"/>
      <c r="T45" s="82" t="s">
        <v>367</v>
      </c>
      <c r="U45" s="82" t="s">
        <v>370</v>
      </c>
      <c r="W45" s="131" t="s">
        <v>348</v>
      </c>
      <c r="X45" s="131"/>
      <c r="Y45" s="131"/>
      <c r="Z45" s="131"/>
      <c r="AA45" s="82" t="s">
        <v>378</v>
      </c>
      <c r="AB45" s="131" t="s">
        <v>357</v>
      </c>
      <c r="AC45" s="131"/>
      <c r="AD45" s="131"/>
      <c r="AE45" s="82" t="s">
        <v>367</v>
      </c>
      <c r="AF45" s="82" t="s">
        <v>370</v>
      </c>
    </row>
    <row r="46" spans="1:32" ht="11.25" customHeight="1" x14ac:dyDescent="0.3">
      <c r="L46" s="82" t="s">
        <v>350</v>
      </c>
      <c r="M46" s="82" t="s">
        <v>376</v>
      </c>
      <c r="N46" s="82" t="s">
        <v>377</v>
      </c>
      <c r="O46" s="82" t="s">
        <v>435</v>
      </c>
      <c r="P46" s="82" t="s">
        <v>379</v>
      </c>
      <c r="Q46" s="82" t="s">
        <v>380</v>
      </c>
      <c r="R46" s="82" t="s">
        <v>381</v>
      </c>
      <c r="S46" s="82" t="s">
        <v>382</v>
      </c>
      <c r="T46" s="82" t="s">
        <v>368</v>
      </c>
      <c r="U46" s="82" t="s">
        <v>383</v>
      </c>
      <c r="W46" s="82" t="s">
        <v>350</v>
      </c>
      <c r="X46" s="82" t="s">
        <v>376</v>
      </c>
      <c r="Y46" s="82" t="s">
        <v>377</v>
      </c>
      <c r="Z46" s="82" t="s">
        <v>435</v>
      </c>
      <c r="AA46" s="82" t="s">
        <v>379</v>
      </c>
      <c r="AB46" s="82" t="s">
        <v>380</v>
      </c>
      <c r="AC46" s="82" t="s">
        <v>381</v>
      </c>
      <c r="AD46" s="82" t="s">
        <v>382</v>
      </c>
      <c r="AE46" s="82" t="s">
        <v>368</v>
      </c>
      <c r="AF46" s="82" t="s">
        <v>383</v>
      </c>
    </row>
    <row r="47" spans="1:32" ht="11.25" customHeight="1" x14ac:dyDescent="0.3">
      <c r="A47" s="9" t="s">
        <v>36</v>
      </c>
      <c r="B47" s="9" t="s">
        <v>821</v>
      </c>
      <c r="C47" s="9" t="s">
        <v>822</v>
      </c>
      <c r="D47" s="9" t="s">
        <v>823</v>
      </c>
      <c r="E47" s="9" t="s">
        <v>824</v>
      </c>
      <c r="F47" s="9" t="s">
        <v>825</v>
      </c>
      <c r="G47" s="9" t="s">
        <v>826</v>
      </c>
      <c r="L47" s="30">
        <f>$I$5*$L$5</f>
        <v>0</v>
      </c>
      <c r="M47" s="30">
        <f>$I$5*$M$5</f>
        <v>0</v>
      </c>
      <c r="N47" s="30">
        <f>$I$5*$N$5</f>
        <v>0</v>
      </c>
      <c r="O47" s="30">
        <f>$I$5*$O$5</f>
        <v>0</v>
      </c>
      <c r="P47" s="30">
        <f>$I$5*$P$5</f>
        <v>33858.380326060353</v>
      </c>
      <c r="Q47" s="30">
        <f>$I$5*$Q$5</f>
        <v>0</v>
      </c>
      <c r="R47" s="30">
        <f>$I$5*$R$5</f>
        <v>0</v>
      </c>
      <c r="S47" s="30">
        <f>$I$5*$S$5</f>
        <v>0</v>
      </c>
      <c r="T47" s="30">
        <f>$I$5*$T$5</f>
        <v>0</v>
      </c>
      <c r="U47" s="30">
        <f>$I$5*$U$5</f>
        <v>0</v>
      </c>
      <c r="W47" s="30">
        <f>$I$5*$W$5</f>
        <v>0</v>
      </c>
      <c r="X47" s="30">
        <f>$I$5*$X$5</f>
        <v>0</v>
      </c>
      <c r="Y47" s="30">
        <f>$I$5*$Y$5</f>
        <v>0</v>
      </c>
      <c r="Z47" s="30">
        <f>$I$5*$Z$5</f>
        <v>0</v>
      </c>
      <c r="AA47" s="30">
        <f>$I$5*$AA$5</f>
        <v>30925.241247028072</v>
      </c>
      <c r="AB47" s="30">
        <f>$I$5*$AB$5</f>
        <v>0</v>
      </c>
      <c r="AC47" s="30">
        <f>$I$5*$AC$5</f>
        <v>0</v>
      </c>
      <c r="AD47" s="30">
        <f>$I$5*$AD$5</f>
        <v>0</v>
      </c>
      <c r="AE47" s="30">
        <f>$I$5*$AE$5</f>
        <v>-674.68601783983195</v>
      </c>
      <c r="AF47" s="30">
        <f>$I$5*$AF$5</f>
        <v>0</v>
      </c>
    </row>
    <row r="48" spans="1:32" ht="11.25" customHeight="1" x14ac:dyDescent="0.3">
      <c r="A48" s="9" t="s">
        <v>36</v>
      </c>
      <c r="B48" s="9" t="s">
        <v>821</v>
      </c>
      <c r="C48" s="9" t="s">
        <v>822</v>
      </c>
      <c r="D48" s="9" t="s">
        <v>823</v>
      </c>
      <c r="E48" s="9" t="s">
        <v>824</v>
      </c>
      <c r="F48" s="9" t="s">
        <v>825</v>
      </c>
      <c r="G48" s="9" t="s">
        <v>827</v>
      </c>
      <c r="L48" s="30">
        <f>$I$6*$L$6</f>
        <v>0</v>
      </c>
      <c r="M48" s="30">
        <f>$I$6*$M$6</f>
        <v>0</v>
      </c>
      <c r="N48" s="30">
        <f>$I$6*$N$6</f>
        <v>0</v>
      </c>
      <c r="O48" s="30">
        <f>$I$6*$O$6</f>
        <v>0</v>
      </c>
      <c r="P48" s="30">
        <f>$I$6*$P$6</f>
        <v>572796.2228656495</v>
      </c>
      <c r="Q48" s="30">
        <f>$I$6*$Q$6</f>
        <v>0</v>
      </c>
      <c r="R48" s="30">
        <f>$I$6*$R$6</f>
        <v>0</v>
      </c>
      <c r="S48" s="30">
        <f>$I$6*$S$6</f>
        <v>0</v>
      </c>
      <c r="T48" s="30">
        <f>$I$6*$T$6</f>
        <v>0</v>
      </c>
      <c r="U48" s="30">
        <f>$I$6*$U$6</f>
        <v>0</v>
      </c>
      <c r="W48" s="30">
        <f>$I$6*$W$6</f>
        <v>0</v>
      </c>
      <c r="X48" s="30">
        <f>$I$6*$X$6</f>
        <v>0</v>
      </c>
      <c r="Y48" s="30">
        <f>$I$6*$Y$6</f>
        <v>0</v>
      </c>
      <c r="Z48" s="30">
        <f>$I$6*$Z$6</f>
        <v>0</v>
      </c>
      <c r="AA48" s="30">
        <f>$I$6*$AA$6</f>
        <v>523175.09600045875</v>
      </c>
      <c r="AB48" s="30">
        <f>$I$6*$AB$6</f>
        <v>0</v>
      </c>
      <c r="AC48" s="30">
        <f>$I$6*$AC$6</f>
        <v>0</v>
      </c>
      <c r="AD48" s="30">
        <f>$I$6*$AD$6</f>
        <v>0</v>
      </c>
      <c r="AE48" s="30">
        <f>$I$6*$AE$6</f>
        <v>-11413.942395273722</v>
      </c>
      <c r="AF48" s="30">
        <f>$I$6*$AF$6</f>
        <v>0</v>
      </c>
    </row>
    <row r="49" spans="1:32" ht="11.25" customHeight="1" x14ac:dyDescent="0.3">
      <c r="A49" s="9" t="s">
        <v>22</v>
      </c>
      <c r="B49" s="9" t="s">
        <v>828</v>
      </c>
      <c r="C49" s="9" t="s">
        <v>829</v>
      </c>
      <c r="D49" s="9" t="s">
        <v>830</v>
      </c>
      <c r="E49" s="9" t="s">
        <v>831</v>
      </c>
      <c r="F49" s="9" t="s">
        <v>832</v>
      </c>
      <c r="G49" s="9" t="s">
        <v>833</v>
      </c>
      <c r="L49" s="30">
        <f>$I$7*$L$7</f>
        <v>0</v>
      </c>
      <c r="M49" s="30">
        <f>$I$7*$M$7</f>
        <v>0</v>
      </c>
      <c r="N49" s="30">
        <f>$I$7*$N$7</f>
        <v>0</v>
      </c>
      <c r="O49" s="30">
        <f>$I$7*$O$7</f>
        <v>0</v>
      </c>
      <c r="P49" s="30">
        <f>$I$7*$P$7</f>
        <v>0</v>
      </c>
      <c r="Q49" s="30">
        <f>$I$7*$Q$7</f>
        <v>0</v>
      </c>
      <c r="R49" s="30">
        <f>$I$7*$R$7</f>
        <v>0</v>
      </c>
      <c r="S49" s="30">
        <f>$I$7*$S$7</f>
        <v>0</v>
      </c>
      <c r="T49" s="30">
        <f>$I$7*$T$7</f>
        <v>0</v>
      </c>
      <c r="U49" s="30">
        <f>$I$7*$U$7</f>
        <v>0</v>
      </c>
      <c r="W49" s="30">
        <f>$I$7*$W$7</f>
        <v>0</v>
      </c>
      <c r="X49" s="30">
        <f>$I$7*$X$7</f>
        <v>0</v>
      </c>
      <c r="Y49" s="30">
        <f>$I$7*$Y$7</f>
        <v>0</v>
      </c>
      <c r="Z49" s="30">
        <f>$I$7*$Z$7</f>
        <v>0</v>
      </c>
      <c r="AA49" s="30">
        <f>$I$7*$AA$7</f>
        <v>0</v>
      </c>
      <c r="AB49" s="30">
        <f>$I$7*$AB$7</f>
        <v>0</v>
      </c>
      <c r="AC49" s="30">
        <f>$I$7*$AC$7</f>
        <v>0</v>
      </c>
      <c r="AD49" s="30">
        <f>$I$7*$AD$7</f>
        <v>0</v>
      </c>
      <c r="AE49" s="30">
        <f>$I$7*$AE$7</f>
        <v>0</v>
      </c>
      <c r="AF49" s="30">
        <f>$I$7*$AF$7</f>
        <v>0</v>
      </c>
    </row>
    <row r="50" spans="1:32" ht="11.25" customHeight="1" x14ac:dyDescent="0.3">
      <c r="A50" s="9" t="s">
        <v>22</v>
      </c>
      <c r="B50" s="9" t="s">
        <v>828</v>
      </c>
      <c r="C50" s="9" t="s">
        <v>829</v>
      </c>
      <c r="D50" s="9" t="s">
        <v>830</v>
      </c>
      <c r="E50" s="9" t="s">
        <v>831</v>
      </c>
      <c r="F50" s="9" t="s">
        <v>832</v>
      </c>
      <c r="G50" s="9" t="s">
        <v>834</v>
      </c>
      <c r="L50" s="30">
        <f>$I$8*$L$8</f>
        <v>0</v>
      </c>
      <c r="M50" s="30">
        <f>$I$8*$M$8</f>
        <v>0</v>
      </c>
      <c r="N50" s="30">
        <f>$I$8*$N$8</f>
        <v>0</v>
      </c>
      <c r="O50" s="30">
        <f>$I$8*$O$8</f>
        <v>0</v>
      </c>
      <c r="P50" s="30">
        <f>$I$8*$P$8</f>
        <v>0</v>
      </c>
      <c r="Q50" s="30">
        <f>$I$8*$Q$8</f>
        <v>0</v>
      </c>
      <c r="R50" s="30">
        <f>$I$8*$R$8</f>
        <v>0</v>
      </c>
      <c r="S50" s="30">
        <f>$I$8*$S$8</f>
        <v>0</v>
      </c>
      <c r="T50" s="30">
        <f>$I$8*$T$8</f>
        <v>0</v>
      </c>
      <c r="U50" s="30">
        <f>$I$8*$U$8</f>
        <v>0</v>
      </c>
      <c r="W50" s="30">
        <f>$I$8*$W$8</f>
        <v>0</v>
      </c>
      <c r="X50" s="30">
        <f>$I$8*$X$8</f>
        <v>0</v>
      </c>
      <c r="Y50" s="30">
        <f>$I$8*$Y$8</f>
        <v>0</v>
      </c>
      <c r="Z50" s="30">
        <f>$I$8*$Z$8</f>
        <v>0</v>
      </c>
      <c r="AA50" s="30">
        <f>$I$8*$AA$8</f>
        <v>0</v>
      </c>
      <c r="AB50" s="30">
        <f>$I$8*$AB$8</f>
        <v>0</v>
      </c>
      <c r="AC50" s="30">
        <f>$I$8*$AC$8</f>
        <v>0</v>
      </c>
      <c r="AD50" s="30">
        <f>$I$8*$AD$8</f>
        <v>0</v>
      </c>
      <c r="AE50" s="30">
        <f>$I$8*$AE$8</f>
        <v>0</v>
      </c>
      <c r="AF50" s="30">
        <f>$I$8*$AF$8</f>
        <v>0</v>
      </c>
    </row>
    <row r="51" spans="1:32" ht="11.25" customHeight="1" x14ac:dyDescent="0.3">
      <c r="A51" s="9" t="s">
        <v>22</v>
      </c>
      <c r="B51" s="9" t="s">
        <v>828</v>
      </c>
      <c r="C51" s="9" t="s">
        <v>829</v>
      </c>
      <c r="D51" s="9" t="s">
        <v>830</v>
      </c>
      <c r="E51" s="9" t="s">
        <v>831</v>
      </c>
      <c r="F51" s="9" t="s">
        <v>832</v>
      </c>
      <c r="G51" s="9" t="s">
        <v>835</v>
      </c>
      <c r="L51" s="30">
        <f>$I$9*$L$9</f>
        <v>0</v>
      </c>
      <c r="M51" s="30">
        <f>$I$9*$M$9</f>
        <v>0</v>
      </c>
      <c r="N51" s="30">
        <f>$I$9*$N$9</f>
        <v>0</v>
      </c>
      <c r="O51" s="30">
        <f>$I$9*$O$9</f>
        <v>0</v>
      </c>
      <c r="P51" s="30">
        <f>$I$9*$P$9</f>
        <v>0</v>
      </c>
      <c r="Q51" s="30">
        <f>$I$9*$Q$9</f>
        <v>0</v>
      </c>
      <c r="R51" s="30">
        <f>$I$9*$R$9</f>
        <v>0</v>
      </c>
      <c r="S51" s="30">
        <f>$I$9*$S$9</f>
        <v>0</v>
      </c>
      <c r="T51" s="30">
        <f>$I$9*$T$9</f>
        <v>0</v>
      </c>
      <c r="U51" s="30">
        <f>$I$9*$U$9</f>
        <v>0</v>
      </c>
      <c r="W51" s="30">
        <f>$I$9*$W$9</f>
        <v>0</v>
      </c>
      <c r="X51" s="30">
        <f>$I$9*$X$9</f>
        <v>0</v>
      </c>
      <c r="Y51" s="30">
        <f>$I$9*$Y$9</f>
        <v>0</v>
      </c>
      <c r="Z51" s="30">
        <f>$I$9*$Z$9</f>
        <v>0</v>
      </c>
      <c r="AA51" s="30">
        <f>$I$9*$AA$9</f>
        <v>0</v>
      </c>
      <c r="AB51" s="30">
        <f>$I$9*$AB$9</f>
        <v>0</v>
      </c>
      <c r="AC51" s="30">
        <f>$I$9*$AC$9</f>
        <v>0</v>
      </c>
      <c r="AD51" s="30">
        <f>$I$9*$AD$9</f>
        <v>0</v>
      </c>
      <c r="AE51" s="30">
        <f>$I$9*$AE$9</f>
        <v>0</v>
      </c>
      <c r="AF51" s="30">
        <f>$I$9*$AF$9</f>
        <v>0</v>
      </c>
    </row>
    <row r="52" spans="1:32" ht="11.25" customHeight="1" x14ac:dyDescent="0.3">
      <c r="A52" s="9" t="s">
        <v>22</v>
      </c>
      <c r="B52" s="9" t="s">
        <v>836</v>
      </c>
      <c r="C52" s="9" t="s">
        <v>837</v>
      </c>
      <c r="D52" s="9" t="s">
        <v>838</v>
      </c>
      <c r="E52" s="9" t="s">
        <v>839</v>
      </c>
      <c r="F52" s="9" t="s">
        <v>840</v>
      </c>
      <c r="G52" s="9" t="s">
        <v>841</v>
      </c>
      <c r="L52" s="30">
        <f>$I$10*$L$10</f>
        <v>0</v>
      </c>
      <c r="M52" s="30">
        <f>$I$10*$M$10</f>
        <v>0</v>
      </c>
      <c r="N52" s="30">
        <f>$I$10*$N$10</f>
        <v>0</v>
      </c>
      <c r="O52" s="30">
        <f>$I$10*$O$10</f>
        <v>0</v>
      </c>
      <c r="P52" s="30">
        <f>$I$10*$P$10</f>
        <v>1956768.356843279</v>
      </c>
      <c r="Q52" s="30">
        <f>$I$10*$Q$10</f>
        <v>0</v>
      </c>
      <c r="R52" s="30">
        <f>$I$10*$R$10</f>
        <v>0</v>
      </c>
      <c r="S52" s="30">
        <f>$I$10*$S$10</f>
        <v>0</v>
      </c>
      <c r="T52" s="30">
        <f>$I$10*$T$10</f>
        <v>0</v>
      </c>
      <c r="U52" s="30">
        <f>$I$10*$U$10</f>
        <v>0</v>
      </c>
      <c r="W52" s="30">
        <f>$I$10*$W$10</f>
        <v>0</v>
      </c>
      <c r="X52" s="30">
        <f>$I$10*$X$10</f>
        <v>0</v>
      </c>
      <c r="Y52" s="30">
        <f>$I$10*$Y$10</f>
        <v>0</v>
      </c>
      <c r="Z52" s="30">
        <f>$I$10*$Z$10</f>
        <v>0</v>
      </c>
      <c r="AA52" s="30">
        <f>$I$10*$AA$10</f>
        <v>1787254.2312176889</v>
      </c>
      <c r="AB52" s="30">
        <f>$I$10*$AB$10</f>
        <v>0</v>
      </c>
      <c r="AC52" s="30">
        <f>$I$10*$AC$10</f>
        <v>0</v>
      </c>
      <c r="AD52" s="30">
        <f>$I$10*$AD$10</f>
        <v>0</v>
      </c>
      <c r="AE52" s="30">
        <f>$I$10*$AE$10</f>
        <v>-38991.94934311253</v>
      </c>
      <c r="AF52" s="30">
        <f>$I$10*$AF$10</f>
        <v>0</v>
      </c>
    </row>
    <row r="53" spans="1:32" ht="11.25" customHeight="1" x14ac:dyDescent="0.3">
      <c r="A53" s="9" t="s">
        <v>22</v>
      </c>
      <c r="B53" s="9" t="s">
        <v>836</v>
      </c>
      <c r="C53" s="9" t="s">
        <v>837</v>
      </c>
      <c r="D53" s="9" t="s">
        <v>842</v>
      </c>
      <c r="E53" s="9" t="s">
        <v>843</v>
      </c>
      <c r="F53" s="9" t="s">
        <v>844</v>
      </c>
      <c r="G53" s="9" t="s">
        <v>845</v>
      </c>
      <c r="L53" s="30">
        <f>$I$11*$L$11</f>
        <v>0</v>
      </c>
      <c r="M53" s="30">
        <f>$I$11*$M$11</f>
        <v>0</v>
      </c>
      <c r="N53" s="30">
        <f>$I$11*$N$11</f>
        <v>0</v>
      </c>
      <c r="O53" s="30">
        <f>$I$11*$O$11</f>
        <v>0</v>
      </c>
      <c r="P53" s="30">
        <f>$I$11*$P$11</f>
        <v>2747.8096949556611</v>
      </c>
      <c r="Q53" s="30">
        <f>$I$11*$Q$11</f>
        <v>0</v>
      </c>
      <c r="R53" s="30">
        <f>$I$11*$R$11</f>
        <v>0</v>
      </c>
      <c r="S53" s="30">
        <f>$I$11*$S$11</f>
        <v>0</v>
      </c>
      <c r="T53" s="30">
        <f>$I$11*$T$11</f>
        <v>0</v>
      </c>
      <c r="U53" s="30">
        <f>$I$11*$U$11</f>
        <v>0</v>
      </c>
      <c r="W53" s="30">
        <f>$I$11*$W$11</f>
        <v>0</v>
      </c>
      <c r="X53" s="30">
        <f>$I$11*$X$11</f>
        <v>0</v>
      </c>
      <c r="Y53" s="30">
        <f>$I$11*$Y$11</f>
        <v>0</v>
      </c>
      <c r="Z53" s="30">
        <f>$I$11*$Z$11</f>
        <v>0</v>
      </c>
      <c r="AA53" s="30">
        <f>$I$11*$AA$11</f>
        <v>2509.7679481147866</v>
      </c>
      <c r="AB53" s="30">
        <f>$I$11*$AB$11</f>
        <v>0</v>
      </c>
      <c r="AC53" s="30">
        <f>$I$11*$AC$11</f>
        <v>0</v>
      </c>
      <c r="AD53" s="30">
        <f>$I$11*$AD$11</f>
        <v>0</v>
      </c>
      <c r="AE53" s="30">
        <f>$I$11*$AE$11</f>
        <v>-54.754798162757425</v>
      </c>
      <c r="AF53" s="30">
        <f>$I$11*$AF$11</f>
        <v>0</v>
      </c>
    </row>
    <row r="54" spans="1:32" ht="11.25" customHeight="1" x14ac:dyDescent="0.3">
      <c r="A54" s="9" t="s">
        <v>22</v>
      </c>
      <c r="B54" s="9" t="s">
        <v>836</v>
      </c>
      <c r="C54" s="9" t="s">
        <v>837</v>
      </c>
      <c r="D54" s="9" t="s">
        <v>846</v>
      </c>
      <c r="E54" s="9" t="s">
        <v>847</v>
      </c>
      <c r="F54" s="9" t="s">
        <v>848</v>
      </c>
      <c r="G54" s="9" t="s">
        <v>849</v>
      </c>
      <c r="L54" s="30">
        <f>$I$12*$L$12</f>
        <v>0</v>
      </c>
      <c r="M54" s="30">
        <f>$I$12*$M$12</f>
        <v>0</v>
      </c>
      <c r="N54" s="30">
        <f>$I$12*$N$12</f>
        <v>0</v>
      </c>
      <c r="O54" s="30">
        <f>$I$12*$O$12</f>
        <v>0</v>
      </c>
      <c r="P54" s="30">
        <f>$I$12*$P$12</f>
        <v>10170.926308334587</v>
      </c>
      <c r="Q54" s="30">
        <f>$I$12*$Q$12</f>
        <v>0</v>
      </c>
      <c r="R54" s="30">
        <f>$I$12*$R$12</f>
        <v>0</v>
      </c>
      <c r="S54" s="30">
        <f>$I$12*$S$12</f>
        <v>0</v>
      </c>
      <c r="T54" s="30">
        <f>$I$12*$T$12</f>
        <v>0</v>
      </c>
      <c r="U54" s="30">
        <f>$I$12*$U$12</f>
        <v>0</v>
      </c>
      <c r="W54" s="30">
        <f>$I$12*$W$12</f>
        <v>0</v>
      </c>
      <c r="X54" s="30">
        <f>$I$12*$X$12</f>
        <v>0</v>
      </c>
      <c r="Y54" s="30">
        <f>$I$12*$Y$12</f>
        <v>0</v>
      </c>
      <c r="Z54" s="30">
        <f>$I$12*$Z$12</f>
        <v>0</v>
      </c>
      <c r="AA54" s="30">
        <f>$I$12*$AA$12</f>
        <v>9289.8226897432469</v>
      </c>
      <c r="AB54" s="30">
        <f>$I$12*$AB$12</f>
        <v>0</v>
      </c>
      <c r="AC54" s="30">
        <f>$I$12*$AC$12</f>
        <v>0</v>
      </c>
      <c r="AD54" s="30">
        <f>$I$12*$AD$12</f>
        <v>0</v>
      </c>
      <c r="AE54" s="30">
        <f>$I$12*$AE$12</f>
        <v>-202.67306653859339</v>
      </c>
      <c r="AF54" s="30">
        <f>$I$12*$AF$12</f>
        <v>0</v>
      </c>
    </row>
    <row r="55" spans="1:32" ht="11.25" customHeight="1" x14ac:dyDescent="0.3">
      <c r="A55" s="9" t="s">
        <v>22</v>
      </c>
      <c r="B55" s="9" t="s">
        <v>836</v>
      </c>
      <c r="C55" s="9" t="s">
        <v>837</v>
      </c>
      <c r="D55" s="9" t="s">
        <v>850</v>
      </c>
      <c r="E55" s="9" t="s">
        <v>851</v>
      </c>
      <c r="F55" s="9" t="s">
        <v>852</v>
      </c>
      <c r="G55" s="9" t="s">
        <v>853</v>
      </c>
      <c r="L55" s="30">
        <f>$I$13*$L$13</f>
        <v>0</v>
      </c>
      <c r="M55" s="30">
        <f>$I$13*$M$13</f>
        <v>0</v>
      </c>
      <c r="N55" s="30">
        <f>$I$13*$N$13</f>
        <v>0</v>
      </c>
      <c r="O55" s="30">
        <f>$I$13*$O$13</f>
        <v>0</v>
      </c>
      <c r="P55" s="30">
        <f>$I$13*$P$13</f>
        <v>13160.629961645645</v>
      </c>
      <c r="Q55" s="30">
        <f>$I$13*$Q$13</f>
        <v>0</v>
      </c>
      <c r="R55" s="30">
        <f>$I$13*$R$13</f>
        <v>0</v>
      </c>
      <c r="S55" s="30">
        <f>$I$13*$S$13</f>
        <v>0</v>
      </c>
      <c r="T55" s="30">
        <f>$I$13*$T$13</f>
        <v>0</v>
      </c>
      <c r="U55" s="30">
        <f>$I$13*$U$13</f>
        <v>0</v>
      </c>
      <c r="W55" s="30">
        <f>$I$13*$W$13</f>
        <v>0</v>
      </c>
      <c r="X55" s="30">
        <f>$I$13*$X$13</f>
        <v>0</v>
      </c>
      <c r="Y55" s="30">
        <f>$I$13*$Y$13</f>
        <v>0</v>
      </c>
      <c r="Z55" s="30">
        <f>$I$13*$Z$13</f>
        <v>0</v>
      </c>
      <c r="AA55" s="30">
        <f>$I$13*$AA$13</f>
        <v>12020.529411251791</v>
      </c>
      <c r="AB55" s="30">
        <f>$I$13*$AB$13</f>
        <v>0</v>
      </c>
      <c r="AC55" s="30">
        <f>$I$13*$AC$13</f>
        <v>0</v>
      </c>
      <c r="AD55" s="30">
        <f>$I$13*$AD$13</f>
        <v>0</v>
      </c>
      <c r="AE55" s="30">
        <f>$I$13*$AE$13</f>
        <v>-262.24801468875933</v>
      </c>
      <c r="AF55" s="30">
        <f>$I$13*$AF$13</f>
        <v>0</v>
      </c>
    </row>
    <row r="56" spans="1:32" ht="11.25" customHeight="1" x14ac:dyDescent="0.3">
      <c r="A56" s="9" t="s">
        <v>22</v>
      </c>
      <c r="B56" s="9" t="s">
        <v>836</v>
      </c>
      <c r="C56" s="9" t="s">
        <v>837</v>
      </c>
      <c r="D56" s="9" t="s">
        <v>854</v>
      </c>
      <c r="E56" s="9" t="s">
        <v>855</v>
      </c>
      <c r="F56" s="9" t="s">
        <v>856</v>
      </c>
      <c r="G56" s="9" t="s">
        <v>857</v>
      </c>
      <c r="L56" s="30">
        <f>$I$14*$L$14</f>
        <v>0</v>
      </c>
      <c r="M56" s="30">
        <f>$I$14*$M$14</f>
        <v>0</v>
      </c>
      <c r="N56" s="30">
        <f>$I$14*$N$14</f>
        <v>0</v>
      </c>
      <c r="O56" s="30">
        <f>$I$14*$O$14</f>
        <v>0</v>
      </c>
      <c r="P56" s="30">
        <f>$I$14*$P$14</f>
        <v>5173.8618143895828</v>
      </c>
      <c r="Q56" s="30">
        <f>$I$14*$Q$14</f>
        <v>0</v>
      </c>
      <c r="R56" s="30">
        <f>$I$14*$R$14</f>
        <v>0</v>
      </c>
      <c r="S56" s="30">
        <f>$I$14*$S$14</f>
        <v>0</v>
      </c>
      <c r="T56" s="30">
        <f>$I$14*$T$14</f>
        <v>0</v>
      </c>
      <c r="U56" s="30">
        <f>$I$14*$U$14</f>
        <v>0</v>
      </c>
      <c r="W56" s="30">
        <f>$I$14*$W$14</f>
        <v>0</v>
      </c>
      <c r="X56" s="30">
        <f>$I$14*$X$14</f>
        <v>0</v>
      </c>
      <c r="Y56" s="30">
        <f>$I$14*$Y$14</f>
        <v>0</v>
      </c>
      <c r="Z56" s="30">
        <f>$I$14*$Z$14</f>
        <v>0</v>
      </c>
      <c r="AA56" s="30">
        <f>$I$14*$AA$14</f>
        <v>4725.6520615557056</v>
      </c>
      <c r="AB56" s="30">
        <f>$I$14*$AB$14</f>
        <v>0</v>
      </c>
      <c r="AC56" s="30">
        <f>$I$14*$AC$14</f>
        <v>0</v>
      </c>
      <c r="AD56" s="30">
        <f>$I$14*$AD$14</f>
        <v>0</v>
      </c>
      <c r="AE56" s="30">
        <f>$I$14*$AE$14</f>
        <v>-103.09802745399799</v>
      </c>
      <c r="AF56" s="30">
        <f>$I$14*$AF$14</f>
        <v>0</v>
      </c>
    </row>
    <row r="57" spans="1:32" ht="11.25" customHeight="1" x14ac:dyDescent="0.3">
      <c r="A57" s="9" t="s">
        <v>22</v>
      </c>
      <c r="B57" s="9" t="s">
        <v>858</v>
      </c>
      <c r="C57" s="9" t="s">
        <v>859</v>
      </c>
      <c r="D57" s="9" t="s">
        <v>860</v>
      </c>
      <c r="E57" s="9" t="s">
        <v>861</v>
      </c>
      <c r="F57" s="9" t="s">
        <v>862</v>
      </c>
      <c r="G57" s="9" t="s">
        <v>863</v>
      </c>
      <c r="L57" s="30">
        <f>$I$15*$L$15</f>
        <v>0</v>
      </c>
      <c r="M57" s="30">
        <f>$I$15*$M$15</f>
        <v>0</v>
      </c>
      <c r="N57" s="30">
        <f>$I$15*$N$15</f>
        <v>0</v>
      </c>
      <c r="O57" s="30">
        <f>$I$15*$O$15</f>
        <v>0</v>
      </c>
      <c r="P57" s="30">
        <f>$I$15*$P$15</f>
        <v>0</v>
      </c>
      <c r="Q57" s="30">
        <f>$I$15*$Q$15</f>
        <v>0</v>
      </c>
      <c r="R57" s="30">
        <f>$I$15*$R$15</f>
        <v>0</v>
      </c>
      <c r="S57" s="30">
        <f>$I$15*$S$15</f>
        <v>0</v>
      </c>
      <c r="T57" s="30">
        <f>$I$15*$T$15</f>
        <v>0</v>
      </c>
      <c r="U57" s="30">
        <f>$I$15*$U$15</f>
        <v>0</v>
      </c>
      <c r="W57" s="30">
        <f>$I$15*$W$15</f>
        <v>0</v>
      </c>
      <c r="X57" s="30">
        <f>$I$15*$X$15</f>
        <v>0</v>
      </c>
      <c r="Y57" s="30">
        <f>$I$15*$Y$15</f>
        <v>0</v>
      </c>
      <c r="Z57" s="30">
        <f>$I$15*$Z$15</f>
        <v>0</v>
      </c>
      <c r="AA57" s="30">
        <f>$I$15*$AA$15</f>
        <v>0</v>
      </c>
      <c r="AB57" s="30">
        <f>$I$15*$AB$15</f>
        <v>0</v>
      </c>
      <c r="AC57" s="30">
        <f>$I$15*$AC$15</f>
        <v>0</v>
      </c>
      <c r="AD57" s="30">
        <f>$I$15*$AD$15</f>
        <v>0</v>
      </c>
      <c r="AE57" s="30">
        <f>$I$15*$AE$15</f>
        <v>0</v>
      </c>
      <c r="AF57" s="30">
        <f>$I$15*$AF$15</f>
        <v>0</v>
      </c>
    </row>
    <row r="58" spans="1:32" ht="11.25" customHeight="1" x14ac:dyDescent="0.3">
      <c r="A58" s="9" t="s">
        <v>22</v>
      </c>
      <c r="B58" s="9" t="s">
        <v>858</v>
      </c>
      <c r="C58" s="9" t="s">
        <v>859</v>
      </c>
      <c r="D58" s="9" t="s">
        <v>864</v>
      </c>
      <c r="E58" s="9" t="s">
        <v>865</v>
      </c>
      <c r="F58" s="9" t="s">
        <v>866</v>
      </c>
      <c r="G58" s="9" t="s">
        <v>867</v>
      </c>
      <c r="L58" s="30">
        <f>$I$16*$L$16</f>
        <v>0</v>
      </c>
      <c r="M58" s="30">
        <f>$I$16*$M$16</f>
        <v>0</v>
      </c>
      <c r="N58" s="30">
        <f>$I$16*$N$16</f>
        <v>0</v>
      </c>
      <c r="O58" s="30">
        <f>$I$16*$O$16</f>
        <v>0</v>
      </c>
      <c r="P58" s="30">
        <f>$I$16*$P$16</f>
        <v>0</v>
      </c>
      <c r="Q58" s="30">
        <f>$I$16*$Q$16</f>
        <v>0</v>
      </c>
      <c r="R58" s="30">
        <f>$I$16*$R$16</f>
        <v>0</v>
      </c>
      <c r="S58" s="30">
        <f>$I$16*$S$16</f>
        <v>0</v>
      </c>
      <c r="T58" s="30">
        <f>$I$16*$T$16</f>
        <v>0</v>
      </c>
      <c r="U58" s="30">
        <f>$I$16*$U$16</f>
        <v>0</v>
      </c>
      <c r="W58" s="30">
        <f>$I$16*$W$16</f>
        <v>0</v>
      </c>
      <c r="X58" s="30">
        <f>$I$16*$X$16</f>
        <v>0</v>
      </c>
      <c r="Y58" s="30">
        <f>$I$16*$Y$16</f>
        <v>0</v>
      </c>
      <c r="Z58" s="30">
        <f>$I$16*$Z$16</f>
        <v>0</v>
      </c>
      <c r="AA58" s="30">
        <f>$I$16*$AA$16</f>
        <v>0</v>
      </c>
      <c r="AB58" s="30">
        <f>$I$16*$AB$16</f>
        <v>0</v>
      </c>
      <c r="AC58" s="30">
        <f>$I$16*$AC$16</f>
        <v>0</v>
      </c>
      <c r="AD58" s="30">
        <f>$I$16*$AD$16</f>
        <v>0</v>
      </c>
      <c r="AE58" s="30">
        <f>$I$16*$AE$16</f>
        <v>0</v>
      </c>
      <c r="AF58" s="30">
        <f>$I$16*$AF$16</f>
        <v>0</v>
      </c>
    </row>
    <row r="59" spans="1:32" ht="11.25" customHeight="1" x14ac:dyDescent="0.3">
      <c r="A59" s="9" t="s">
        <v>22</v>
      </c>
      <c r="B59" s="9" t="s">
        <v>858</v>
      </c>
      <c r="C59" s="9" t="s">
        <v>859</v>
      </c>
      <c r="D59" s="9" t="s">
        <v>868</v>
      </c>
      <c r="E59" s="9" t="s">
        <v>869</v>
      </c>
      <c r="F59" s="9" t="s">
        <v>870</v>
      </c>
      <c r="G59" s="9" t="s">
        <v>871</v>
      </c>
      <c r="L59" s="30">
        <f>$I$17*$L$17</f>
        <v>0</v>
      </c>
      <c r="M59" s="30">
        <f>$I$17*$M$17</f>
        <v>0</v>
      </c>
      <c r="N59" s="30">
        <f>$I$17*$N$17</f>
        <v>0</v>
      </c>
      <c r="O59" s="30">
        <f>$I$17*$O$17</f>
        <v>0</v>
      </c>
      <c r="P59" s="30">
        <f>$I$17*$P$17</f>
        <v>0</v>
      </c>
      <c r="Q59" s="30">
        <f>$I$17*$Q$17</f>
        <v>0</v>
      </c>
      <c r="R59" s="30">
        <f>$I$17*$R$17</f>
        <v>0</v>
      </c>
      <c r="S59" s="30">
        <f>$I$17*$S$17</f>
        <v>0</v>
      </c>
      <c r="T59" s="30">
        <f>$I$17*$T$17</f>
        <v>0</v>
      </c>
      <c r="U59" s="30">
        <f>$I$17*$U$17</f>
        <v>0</v>
      </c>
      <c r="W59" s="30">
        <f>$I$17*$W$17</f>
        <v>0</v>
      </c>
      <c r="X59" s="30">
        <f>$I$17*$X$17</f>
        <v>0</v>
      </c>
      <c r="Y59" s="30">
        <f>$I$17*$Y$17</f>
        <v>0</v>
      </c>
      <c r="Z59" s="30">
        <f>$I$17*$Z$17</f>
        <v>0</v>
      </c>
      <c r="AA59" s="30">
        <f>$I$17*$AA$17</f>
        <v>0</v>
      </c>
      <c r="AB59" s="30">
        <f>$I$17*$AB$17</f>
        <v>0</v>
      </c>
      <c r="AC59" s="30">
        <f>$I$17*$AC$17</f>
        <v>0</v>
      </c>
      <c r="AD59" s="30">
        <f>$I$17*$AD$17</f>
        <v>0</v>
      </c>
      <c r="AE59" s="30">
        <f>$I$17*$AE$17</f>
        <v>0</v>
      </c>
      <c r="AF59" s="30">
        <f>$I$17*$AF$17</f>
        <v>0</v>
      </c>
    </row>
    <row r="60" spans="1:32" ht="11.25" customHeight="1" x14ac:dyDescent="0.3">
      <c r="A60" s="9" t="s">
        <v>22</v>
      </c>
      <c r="B60" s="9" t="s">
        <v>858</v>
      </c>
      <c r="C60" s="9" t="s">
        <v>859</v>
      </c>
      <c r="D60" s="9" t="s">
        <v>872</v>
      </c>
      <c r="E60" s="9" t="s">
        <v>873</v>
      </c>
      <c r="F60" s="9" t="s">
        <v>874</v>
      </c>
      <c r="G60" s="9" t="s">
        <v>875</v>
      </c>
      <c r="L60" s="30">
        <f>$I$18*$L$18</f>
        <v>0</v>
      </c>
      <c r="M60" s="30">
        <f>$I$18*$M$18</f>
        <v>0</v>
      </c>
      <c r="N60" s="30">
        <f>$I$18*$N$18</f>
        <v>0</v>
      </c>
      <c r="O60" s="30">
        <f>$I$18*$O$18</f>
        <v>0</v>
      </c>
      <c r="P60" s="30">
        <f>$I$18*$P$18</f>
        <v>0</v>
      </c>
      <c r="Q60" s="30">
        <f>$I$18*$Q$18</f>
        <v>0</v>
      </c>
      <c r="R60" s="30">
        <f>$I$18*$R$18</f>
        <v>0</v>
      </c>
      <c r="S60" s="30">
        <f>$I$18*$S$18</f>
        <v>0</v>
      </c>
      <c r="T60" s="30">
        <f>$I$18*$T$18</f>
        <v>0</v>
      </c>
      <c r="U60" s="30">
        <f>$I$18*$U$18</f>
        <v>0</v>
      </c>
      <c r="W60" s="30">
        <f>$I$18*$W$18</f>
        <v>0</v>
      </c>
      <c r="X60" s="30">
        <f>$I$18*$X$18</f>
        <v>0</v>
      </c>
      <c r="Y60" s="30">
        <f>$I$18*$Y$18</f>
        <v>0</v>
      </c>
      <c r="Z60" s="30">
        <f>$I$18*$Z$18</f>
        <v>0</v>
      </c>
      <c r="AA60" s="30">
        <f>$I$18*$AA$18</f>
        <v>0</v>
      </c>
      <c r="AB60" s="30">
        <f>$I$18*$AB$18</f>
        <v>0</v>
      </c>
      <c r="AC60" s="30">
        <f>$I$18*$AC$18</f>
        <v>0</v>
      </c>
      <c r="AD60" s="30">
        <f>$I$18*$AD$18</f>
        <v>0</v>
      </c>
      <c r="AE60" s="30">
        <f>$I$18*$AE$18</f>
        <v>0</v>
      </c>
      <c r="AF60" s="30">
        <f>$I$18*$AF$18</f>
        <v>0</v>
      </c>
    </row>
    <row r="61" spans="1:32" ht="11.25" customHeight="1" x14ac:dyDescent="0.3">
      <c r="A61" s="9" t="s">
        <v>22</v>
      </c>
      <c r="B61" s="9" t="s">
        <v>858</v>
      </c>
      <c r="C61" s="9" t="s">
        <v>859</v>
      </c>
      <c r="D61" s="9" t="s">
        <v>876</v>
      </c>
      <c r="E61" s="9" t="s">
        <v>877</v>
      </c>
      <c r="F61" s="9" t="s">
        <v>878</v>
      </c>
      <c r="G61" s="9" t="s">
        <v>879</v>
      </c>
      <c r="L61" s="30">
        <f>$I$19*$L$19</f>
        <v>0</v>
      </c>
      <c r="M61" s="30">
        <f>$I$19*$M$19</f>
        <v>0</v>
      </c>
      <c r="N61" s="30">
        <f>$I$19*$N$19</f>
        <v>0</v>
      </c>
      <c r="O61" s="30">
        <f>$I$19*$O$19</f>
        <v>0</v>
      </c>
      <c r="P61" s="30">
        <f>$I$19*$P$19</f>
        <v>0</v>
      </c>
      <c r="Q61" s="30">
        <f>$I$19*$Q$19</f>
        <v>0</v>
      </c>
      <c r="R61" s="30">
        <f>$I$19*$R$19</f>
        <v>0</v>
      </c>
      <c r="S61" s="30">
        <f>$I$19*$S$19</f>
        <v>0</v>
      </c>
      <c r="T61" s="30">
        <f>$I$19*$T$19</f>
        <v>0</v>
      </c>
      <c r="U61" s="30">
        <f>$I$19*$U$19</f>
        <v>0</v>
      </c>
      <c r="W61" s="30">
        <f>$I$19*$W$19</f>
        <v>0</v>
      </c>
      <c r="X61" s="30">
        <f>$I$19*$X$19</f>
        <v>0</v>
      </c>
      <c r="Y61" s="30">
        <f>$I$19*$Y$19</f>
        <v>0</v>
      </c>
      <c r="Z61" s="30">
        <f>$I$19*$Z$19</f>
        <v>0</v>
      </c>
      <c r="AA61" s="30">
        <f>$I$19*$AA$19</f>
        <v>0</v>
      </c>
      <c r="AB61" s="30">
        <f>$I$19*$AB$19</f>
        <v>0</v>
      </c>
      <c r="AC61" s="30">
        <f>$I$19*$AC$19</f>
        <v>0</v>
      </c>
      <c r="AD61" s="30">
        <f>$I$19*$AD$19</f>
        <v>0</v>
      </c>
      <c r="AE61" s="30">
        <f>$I$19*$AE$19</f>
        <v>0</v>
      </c>
      <c r="AF61" s="30">
        <f>$I$19*$AF$19</f>
        <v>0</v>
      </c>
    </row>
    <row r="62" spans="1:32" ht="11.25" customHeight="1" x14ac:dyDescent="0.3">
      <c r="A62" s="9" t="s">
        <v>40</v>
      </c>
      <c r="B62" s="9" t="s">
        <v>880</v>
      </c>
      <c r="C62" s="9" t="s">
        <v>881</v>
      </c>
      <c r="D62" s="9" t="s">
        <v>882</v>
      </c>
      <c r="E62" s="9" t="s">
        <v>883</v>
      </c>
      <c r="F62" s="9" t="s">
        <v>884</v>
      </c>
      <c r="G62" s="9" t="s">
        <v>885</v>
      </c>
      <c r="L62" s="30">
        <f>$I$20*$L$20</f>
        <v>0</v>
      </c>
      <c r="M62" s="30">
        <f>$I$20*$M$20</f>
        <v>0</v>
      </c>
      <c r="N62" s="30">
        <f>$I$20*$N$20</f>
        <v>0</v>
      </c>
      <c r="O62" s="30">
        <f>$I$20*$O$20</f>
        <v>0</v>
      </c>
      <c r="P62" s="30">
        <f>$I$20*$P$20</f>
        <v>0</v>
      </c>
      <c r="Q62" s="30">
        <f>$I$20*$Q$20</f>
        <v>0</v>
      </c>
      <c r="R62" s="30">
        <f>$I$20*$R$20</f>
        <v>0</v>
      </c>
      <c r="S62" s="30">
        <f>$I$20*$S$20</f>
        <v>0</v>
      </c>
      <c r="T62" s="30">
        <f>$I$20*$T$20</f>
        <v>0</v>
      </c>
      <c r="U62" s="30">
        <f>$I$20*$U$20</f>
        <v>0</v>
      </c>
      <c r="W62" s="30">
        <f>$I$20*$W$20</f>
        <v>0</v>
      </c>
      <c r="X62" s="30">
        <f>$I$20*$X$20</f>
        <v>0</v>
      </c>
      <c r="Y62" s="30">
        <f>$I$20*$Y$20</f>
        <v>0</v>
      </c>
      <c r="Z62" s="30">
        <f>$I$20*$Z$20</f>
        <v>0</v>
      </c>
      <c r="AA62" s="30">
        <f>$I$20*$AA$20</f>
        <v>0</v>
      </c>
      <c r="AB62" s="30">
        <f>$I$20*$AB$20</f>
        <v>0</v>
      </c>
      <c r="AC62" s="30">
        <f>$I$20*$AC$20</f>
        <v>0</v>
      </c>
      <c r="AD62" s="30">
        <f>$I$20*$AD$20</f>
        <v>0</v>
      </c>
      <c r="AE62" s="30">
        <f>$I$20*$AE$20</f>
        <v>0</v>
      </c>
      <c r="AF62" s="30">
        <f>$I$20*$AF$20</f>
        <v>0</v>
      </c>
    </row>
    <row r="63" spans="1:32" ht="11.25" customHeight="1" x14ac:dyDescent="0.3">
      <c r="A63" s="9" t="s">
        <v>40</v>
      </c>
      <c r="B63" s="9" t="s">
        <v>880</v>
      </c>
      <c r="C63" s="9" t="s">
        <v>881</v>
      </c>
      <c r="D63" s="9" t="s">
        <v>882</v>
      </c>
      <c r="E63" s="9" t="s">
        <v>883</v>
      </c>
      <c r="F63" s="9" t="s">
        <v>884</v>
      </c>
      <c r="G63" s="9" t="s">
        <v>886</v>
      </c>
      <c r="L63" s="30">
        <f>$I$21*$L$21</f>
        <v>0</v>
      </c>
      <c r="M63" s="30">
        <f>$I$21*$M$21</f>
        <v>0</v>
      </c>
      <c r="N63" s="30">
        <f>$I$21*$N$21</f>
        <v>0</v>
      </c>
      <c r="O63" s="30">
        <f>$I$21*$O$21</f>
        <v>0</v>
      </c>
      <c r="P63" s="30">
        <f>$I$21*$P$21</f>
        <v>0</v>
      </c>
      <c r="Q63" s="30">
        <f>$I$21*$Q$21</f>
        <v>0</v>
      </c>
      <c r="R63" s="30">
        <f>$I$21*$R$21</f>
        <v>0</v>
      </c>
      <c r="S63" s="30">
        <f>$I$21*$S$21</f>
        <v>0</v>
      </c>
      <c r="T63" s="30">
        <f>$I$21*$T$21</f>
        <v>0</v>
      </c>
      <c r="U63" s="30">
        <f>$I$21*$U$21</f>
        <v>0</v>
      </c>
      <c r="W63" s="30">
        <f>$I$21*$W$21</f>
        <v>0</v>
      </c>
      <c r="X63" s="30">
        <f>$I$21*$X$21</f>
        <v>0</v>
      </c>
      <c r="Y63" s="30">
        <f>$I$21*$Y$21</f>
        <v>0</v>
      </c>
      <c r="Z63" s="30">
        <f>$I$21*$Z$21</f>
        <v>0</v>
      </c>
      <c r="AA63" s="30">
        <f>$I$21*$AA$21</f>
        <v>0</v>
      </c>
      <c r="AB63" s="30">
        <f>$I$21*$AB$21</f>
        <v>0</v>
      </c>
      <c r="AC63" s="30">
        <f>$I$21*$AC$21</f>
        <v>0</v>
      </c>
      <c r="AD63" s="30">
        <f>$I$21*$AD$21</f>
        <v>0</v>
      </c>
      <c r="AE63" s="30">
        <f>$I$21*$AE$21</f>
        <v>0</v>
      </c>
      <c r="AF63" s="30">
        <f>$I$21*$AF$21</f>
        <v>0</v>
      </c>
    </row>
    <row r="64" spans="1:32" ht="11.25" customHeight="1" x14ac:dyDescent="0.3">
      <c r="A64" s="9" t="s">
        <v>40</v>
      </c>
      <c r="B64" s="9" t="s">
        <v>880</v>
      </c>
      <c r="C64" s="9" t="s">
        <v>881</v>
      </c>
      <c r="D64" s="9" t="s">
        <v>882</v>
      </c>
      <c r="E64" s="9" t="s">
        <v>883</v>
      </c>
      <c r="F64" s="9" t="s">
        <v>884</v>
      </c>
      <c r="G64" s="9" t="s">
        <v>887</v>
      </c>
      <c r="L64" s="30">
        <f>$I$22*$L$22</f>
        <v>0</v>
      </c>
      <c r="M64" s="30">
        <f>$I$22*$M$22</f>
        <v>0</v>
      </c>
      <c r="N64" s="30">
        <f>$I$22*$N$22</f>
        <v>0</v>
      </c>
      <c r="O64" s="30">
        <f>$I$22*$O$22</f>
        <v>0</v>
      </c>
      <c r="P64" s="30">
        <f>$I$22*$P$22</f>
        <v>0</v>
      </c>
      <c r="Q64" s="30">
        <f>$I$22*$Q$22</f>
        <v>0</v>
      </c>
      <c r="R64" s="30">
        <f>$I$22*$R$22</f>
        <v>0</v>
      </c>
      <c r="S64" s="30">
        <f>$I$22*$S$22</f>
        <v>0</v>
      </c>
      <c r="T64" s="30">
        <f>$I$22*$T$22</f>
        <v>0</v>
      </c>
      <c r="U64" s="30">
        <f>$I$22*$U$22</f>
        <v>0</v>
      </c>
      <c r="W64" s="30">
        <f>$I$22*$W$22</f>
        <v>0</v>
      </c>
      <c r="X64" s="30">
        <f>$I$22*$X$22</f>
        <v>0</v>
      </c>
      <c r="Y64" s="30">
        <f>$I$22*$Y$22</f>
        <v>0</v>
      </c>
      <c r="Z64" s="30">
        <f>$I$22*$Z$22</f>
        <v>0</v>
      </c>
      <c r="AA64" s="30">
        <f>$I$22*$AA$22</f>
        <v>0</v>
      </c>
      <c r="AB64" s="30">
        <f>$I$22*$AB$22</f>
        <v>0</v>
      </c>
      <c r="AC64" s="30">
        <f>$I$22*$AC$22</f>
        <v>0</v>
      </c>
      <c r="AD64" s="30">
        <f>$I$22*$AD$22</f>
        <v>0</v>
      </c>
      <c r="AE64" s="30">
        <f>$I$22*$AE$22</f>
        <v>0</v>
      </c>
      <c r="AF64" s="30">
        <f>$I$22*$AF$22</f>
        <v>0</v>
      </c>
    </row>
    <row r="65" spans="1:32" ht="11.25" customHeight="1" x14ac:dyDescent="0.3">
      <c r="A65" s="9" t="s">
        <v>40</v>
      </c>
      <c r="B65" s="9" t="s">
        <v>888</v>
      </c>
      <c r="C65" s="9" t="s">
        <v>889</v>
      </c>
      <c r="D65" s="9" t="s">
        <v>890</v>
      </c>
      <c r="E65" s="9" t="s">
        <v>891</v>
      </c>
      <c r="F65" s="9" t="s">
        <v>892</v>
      </c>
      <c r="G65" s="9" t="s">
        <v>893</v>
      </c>
      <c r="L65" s="30">
        <f>$I$23*$L$23</f>
        <v>0</v>
      </c>
      <c r="M65" s="30">
        <f>$I$23*$M$23</f>
        <v>0</v>
      </c>
      <c r="N65" s="30">
        <f>$I$23*$N$23</f>
        <v>0</v>
      </c>
      <c r="O65" s="30">
        <f>$I$23*$O$23</f>
        <v>0</v>
      </c>
      <c r="P65" s="30">
        <f>$I$23*$P$23</f>
        <v>321795.47291926696</v>
      </c>
      <c r="Q65" s="30">
        <f>$I$23*$Q$23</f>
        <v>0</v>
      </c>
      <c r="R65" s="30">
        <f>$I$23*$R$23</f>
        <v>0</v>
      </c>
      <c r="S65" s="30">
        <f>$I$23*$S$23</f>
        <v>0</v>
      </c>
      <c r="T65" s="30">
        <f>$I$23*$T$23</f>
        <v>0</v>
      </c>
      <c r="U65" s="30">
        <f>$I$23*$U$23</f>
        <v>0</v>
      </c>
      <c r="W65" s="30">
        <f>$I$23*$W$23</f>
        <v>0</v>
      </c>
      <c r="X65" s="30">
        <f>$I$23*$X$23</f>
        <v>0</v>
      </c>
      <c r="Y65" s="30">
        <f>$I$23*$Y$23</f>
        <v>0</v>
      </c>
      <c r="Z65" s="30">
        <f>$I$23*$Z$23</f>
        <v>0</v>
      </c>
      <c r="AA65" s="30">
        <f>$I$23*$AA$23</f>
        <v>275157.69696774799</v>
      </c>
      <c r="AB65" s="30">
        <f>$I$23*$AB$23</f>
        <v>0</v>
      </c>
      <c r="AC65" s="30">
        <f>$I$23*$AC$23</f>
        <v>0</v>
      </c>
      <c r="AD65" s="30">
        <f>$I$23*$AD$23</f>
        <v>0</v>
      </c>
      <c r="AE65" s="30">
        <f>$I$23*$AE$23</f>
        <v>-6003.0267625798697</v>
      </c>
      <c r="AF65" s="30">
        <f>$I$23*$AF$23</f>
        <v>0</v>
      </c>
    </row>
    <row r="66" spans="1:32" ht="11.25" customHeight="1" x14ac:dyDescent="0.3">
      <c r="A66" s="9" t="s">
        <v>40</v>
      </c>
      <c r="B66" s="9" t="s">
        <v>880</v>
      </c>
      <c r="C66" s="9" t="s">
        <v>881</v>
      </c>
      <c r="D66" s="9" t="s">
        <v>894</v>
      </c>
      <c r="E66" s="9" t="s">
        <v>895</v>
      </c>
      <c r="F66" s="9" t="s">
        <v>896</v>
      </c>
      <c r="G66" s="9" t="s">
        <v>897</v>
      </c>
      <c r="L66" s="30">
        <f>$I$24*$L$24</f>
        <v>0</v>
      </c>
      <c r="M66" s="30">
        <f>$I$24*$M$24</f>
        <v>0</v>
      </c>
      <c r="N66" s="30">
        <f>$I$24*$N$24</f>
        <v>0</v>
      </c>
      <c r="O66" s="30">
        <f>$I$24*$O$24</f>
        <v>0</v>
      </c>
      <c r="P66" s="30">
        <f>$I$24*$P$24</f>
        <v>0</v>
      </c>
      <c r="Q66" s="30">
        <f>$I$24*$Q$24</f>
        <v>0</v>
      </c>
      <c r="R66" s="30">
        <f>$I$24*$R$24</f>
        <v>0</v>
      </c>
      <c r="S66" s="30">
        <f>$I$24*$S$24</f>
        <v>0</v>
      </c>
      <c r="T66" s="30">
        <f>$I$24*$T$24</f>
        <v>0</v>
      </c>
      <c r="U66" s="30">
        <f>$I$24*$U$24</f>
        <v>0</v>
      </c>
      <c r="W66" s="30">
        <f>$I$24*$W$24</f>
        <v>0</v>
      </c>
      <c r="X66" s="30">
        <f>$I$24*$X$24</f>
        <v>0</v>
      </c>
      <c r="Y66" s="30">
        <f>$I$24*$Y$24</f>
        <v>0</v>
      </c>
      <c r="Z66" s="30">
        <f>$I$24*$Z$24</f>
        <v>0</v>
      </c>
      <c r="AA66" s="30">
        <f>$I$24*$AA$24</f>
        <v>0</v>
      </c>
      <c r="AB66" s="30">
        <f>$I$24*$AB$24</f>
        <v>0</v>
      </c>
      <c r="AC66" s="30">
        <f>$I$24*$AC$24</f>
        <v>0</v>
      </c>
      <c r="AD66" s="30">
        <f>$I$24*$AD$24</f>
        <v>0</v>
      </c>
      <c r="AE66" s="30">
        <f>$I$24*$AE$24</f>
        <v>0</v>
      </c>
      <c r="AF66" s="30">
        <f>$I$24*$AF$24</f>
        <v>0</v>
      </c>
    </row>
    <row r="67" spans="1:32" ht="11.25" customHeight="1" x14ac:dyDescent="0.3">
      <c r="A67" s="9" t="s">
        <v>40</v>
      </c>
      <c r="B67" s="9" t="s">
        <v>880</v>
      </c>
      <c r="C67" s="9" t="s">
        <v>881</v>
      </c>
      <c r="D67" s="9" t="s">
        <v>894</v>
      </c>
      <c r="E67" s="9" t="s">
        <v>895</v>
      </c>
      <c r="F67" s="9" t="s">
        <v>896</v>
      </c>
      <c r="G67" s="9" t="s">
        <v>898</v>
      </c>
      <c r="L67" s="30">
        <f>$I$25*$L$25</f>
        <v>0</v>
      </c>
      <c r="M67" s="30">
        <f>$I$25*$M$25</f>
        <v>0</v>
      </c>
      <c r="N67" s="30">
        <f>$I$25*$N$25</f>
        <v>0</v>
      </c>
      <c r="O67" s="30">
        <f>$I$25*$O$25</f>
        <v>0</v>
      </c>
      <c r="P67" s="30">
        <f>$I$25*$P$25</f>
        <v>0</v>
      </c>
      <c r="Q67" s="30">
        <f>$I$25*$Q$25</f>
        <v>0</v>
      </c>
      <c r="R67" s="30">
        <f>$I$25*$R$25</f>
        <v>0</v>
      </c>
      <c r="S67" s="30">
        <f>$I$25*$S$25</f>
        <v>0</v>
      </c>
      <c r="T67" s="30">
        <f>$I$25*$T$25</f>
        <v>0</v>
      </c>
      <c r="U67" s="30">
        <f>$I$25*$U$25</f>
        <v>0</v>
      </c>
      <c r="W67" s="30">
        <f>$I$25*$W$25</f>
        <v>0</v>
      </c>
      <c r="X67" s="30">
        <f>$I$25*$X$25</f>
        <v>0</v>
      </c>
      <c r="Y67" s="30">
        <f>$I$25*$Y$25</f>
        <v>0</v>
      </c>
      <c r="Z67" s="30">
        <f>$I$25*$Z$25</f>
        <v>0</v>
      </c>
      <c r="AA67" s="30">
        <f>$I$25*$AA$25</f>
        <v>0</v>
      </c>
      <c r="AB67" s="30">
        <f>$I$25*$AB$25</f>
        <v>0</v>
      </c>
      <c r="AC67" s="30">
        <f>$I$25*$AC$25</f>
        <v>0</v>
      </c>
      <c r="AD67" s="30">
        <f>$I$25*$AD$25</f>
        <v>0</v>
      </c>
      <c r="AE67" s="30">
        <f>$I$25*$AE$25</f>
        <v>0</v>
      </c>
      <c r="AF67" s="30">
        <f>$I$25*$AF$25</f>
        <v>0</v>
      </c>
    </row>
    <row r="68" spans="1:32" ht="11.25" customHeight="1" x14ac:dyDescent="0.3">
      <c r="A68" s="9" t="s">
        <v>40</v>
      </c>
      <c r="B68" s="9" t="s">
        <v>880</v>
      </c>
      <c r="C68" s="9" t="s">
        <v>881</v>
      </c>
      <c r="D68" s="9" t="s">
        <v>894</v>
      </c>
      <c r="E68" s="9" t="s">
        <v>895</v>
      </c>
      <c r="F68" s="9" t="s">
        <v>896</v>
      </c>
      <c r="G68" s="9" t="s">
        <v>899</v>
      </c>
      <c r="L68" s="30">
        <f>$I$26*$L$26</f>
        <v>0</v>
      </c>
      <c r="M68" s="30">
        <f>$I$26*$M$26</f>
        <v>0</v>
      </c>
      <c r="N68" s="30">
        <f>$I$26*$N$26</f>
        <v>0</v>
      </c>
      <c r="O68" s="30">
        <f>$I$26*$O$26</f>
        <v>0</v>
      </c>
      <c r="P68" s="30">
        <f>$I$26*$P$26</f>
        <v>0</v>
      </c>
      <c r="Q68" s="30">
        <f>$I$26*$Q$26</f>
        <v>0</v>
      </c>
      <c r="R68" s="30">
        <f>$I$26*$R$26</f>
        <v>0</v>
      </c>
      <c r="S68" s="30">
        <f>$I$26*$S$26</f>
        <v>0</v>
      </c>
      <c r="T68" s="30">
        <f>$I$26*$T$26</f>
        <v>0</v>
      </c>
      <c r="U68" s="30">
        <f>$I$26*$U$26</f>
        <v>0</v>
      </c>
      <c r="W68" s="30">
        <f>$I$26*$W$26</f>
        <v>0</v>
      </c>
      <c r="X68" s="30">
        <f>$I$26*$X$26</f>
        <v>0</v>
      </c>
      <c r="Y68" s="30">
        <f>$I$26*$Y$26</f>
        <v>0</v>
      </c>
      <c r="Z68" s="30">
        <f>$I$26*$Z$26</f>
        <v>0</v>
      </c>
      <c r="AA68" s="30">
        <f>$I$26*$AA$26</f>
        <v>0</v>
      </c>
      <c r="AB68" s="30">
        <f>$I$26*$AB$26</f>
        <v>0</v>
      </c>
      <c r="AC68" s="30">
        <f>$I$26*$AC$26</f>
        <v>0</v>
      </c>
      <c r="AD68" s="30">
        <f>$I$26*$AD$26</f>
        <v>0</v>
      </c>
      <c r="AE68" s="30">
        <f>$I$26*$AE$26</f>
        <v>0</v>
      </c>
      <c r="AF68" s="30">
        <f>$I$26*$AF$26</f>
        <v>0</v>
      </c>
    </row>
    <row r="69" spans="1:32" ht="11.25" customHeight="1" x14ac:dyDescent="0.3">
      <c r="A69" s="9" t="s">
        <v>40</v>
      </c>
      <c r="B69" s="9" t="s">
        <v>888</v>
      </c>
      <c r="C69" s="9" t="s">
        <v>889</v>
      </c>
      <c r="D69" s="9" t="s">
        <v>900</v>
      </c>
      <c r="E69" s="9" t="s">
        <v>901</v>
      </c>
      <c r="F69" s="9" t="s">
        <v>902</v>
      </c>
      <c r="G69" s="9" t="s">
        <v>903</v>
      </c>
      <c r="L69" s="30">
        <f>$I$27*$L$27</f>
        <v>0</v>
      </c>
      <c r="M69" s="30">
        <f>$I$27*$M$27</f>
        <v>0</v>
      </c>
      <c r="N69" s="30">
        <f>$I$27*$N$27</f>
        <v>0</v>
      </c>
      <c r="O69" s="30">
        <f>$I$27*$O$27</f>
        <v>0</v>
      </c>
      <c r="P69" s="30">
        <f>$I$27*$P$27</f>
        <v>0</v>
      </c>
      <c r="Q69" s="30">
        <f>$I$27*$Q$27</f>
        <v>0</v>
      </c>
      <c r="R69" s="30">
        <f>$I$27*$R$27</f>
        <v>0</v>
      </c>
      <c r="S69" s="30">
        <f>$I$27*$S$27</f>
        <v>0</v>
      </c>
      <c r="T69" s="30">
        <f>$I$27*$T$27</f>
        <v>0</v>
      </c>
      <c r="U69" s="30">
        <f>$I$27*$U$27</f>
        <v>0</v>
      </c>
      <c r="W69" s="30">
        <f>$I$27*$W$27</f>
        <v>0</v>
      </c>
      <c r="X69" s="30">
        <f>$I$27*$X$27</f>
        <v>0</v>
      </c>
      <c r="Y69" s="30">
        <f>$I$27*$Y$27</f>
        <v>0</v>
      </c>
      <c r="Z69" s="30">
        <f>$I$27*$Z$27</f>
        <v>0</v>
      </c>
      <c r="AA69" s="30">
        <f>$I$27*$AA$27</f>
        <v>0</v>
      </c>
      <c r="AB69" s="30">
        <f>$I$27*$AB$27</f>
        <v>0</v>
      </c>
      <c r="AC69" s="30">
        <f>$I$27*$AC$27</f>
        <v>0</v>
      </c>
      <c r="AD69" s="30">
        <f>$I$27*$AD$27</f>
        <v>0</v>
      </c>
      <c r="AE69" s="30">
        <f>$I$27*$AE$27</f>
        <v>0</v>
      </c>
      <c r="AF69" s="30">
        <f>$I$27*$AF$27</f>
        <v>0</v>
      </c>
    </row>
    <row r="70" spans="1:32" ht="11.25" customHeight="1" x14ac:dyDescent="0.3">
      <c r="A70" s="9" t="s">
        <v>40</v>
      </c>
      <c r="B70" s="9" t="s">
        <v>880</v>
      </c>
      <c r="C70" s="9" t="s">
        <v>881</v>
      </c>
      <c r="D70" s="9" t="s">
        <v>904</v>
      </c>
      <c r="E70" s="9" t="s">
        <v>905</v>
      </c>
      <c r="F70" s="9" t="s">
        <v>906</v>
      </c>
      <c r="G70" s="9" t="s">
        <v>907</v>
      </c>
      <c r="L70" s="30">
        <f>$I$28*$L$28</f>
        <v>0</v>
      </c>
      <c r="M70" s="30">
        <f>$I$28*$M$28</f>
        <v>0</v>
      </c>
      <c r="N70" s="30">
        <f>$I$28*$N$28</f>
        <v>0</v>
      </c>
      <c r="O70" s="30">
        <f>$I$28*$O$28</f>
        <v>0</v>
      </c>
      <c r="P70" s="30">
        <f>$I$28*$P$28</f>
        <v>0</v>
      </c>
      <c r="Q70" s="30">
        <f>$I$28*$Q$28</f>
        <v>0</v>
      </c>
      <c r="R70" s="30">
        <f>$I$28*$R$28</f>
        <v>0</v>
      </c>
      <c r="S70" s="30">
        <f>$I$28*$S$28</f>
        <v>0</v>
      </c>
      <c r="T70" s="30">
        <f>$I$28*$T$28</f>
        <v>0</v>
      </c>
      <c r="U70" s="30">
        <f>$I$28*$U$28</f>
        <v>0</v>
      </c>
      <c r="W70" s="30">
        <f>$I$28*$W$28</f>
        <v>0</v>
      </c>
      <c r="X70" s="30">
        <f>$I$28*$X$28</f>
        <v>0</v>
      </c>
      <c r="Y70" s="30">
        <f>$I$28*$Y$28</f>
        <v>0</v>
      </c>
      <c r="Z70" s="30">
        <f>$I$28*$Z$28</f>
        <v>0</v>
      </c>
      <c r="AA70" s="30">
        <f>$I$28*$AA$28</f>
        <v>0</v>
      </c>
      <c r="AB70" s="30">
        <f>$I$28*$AB$28</f>
        <v>0</v>
      </c>
      <c r="AC70" s="30">
        <f>$I$28*$AC$28</f>
        <v>0</v>
      </c>
      <c r="AD70" s="30">
        <f>$I$28*$AD$28</f>
        <v>0</v>
      </c>
      <c r="AE70" s="30">
        <f>$I$28*$AE$28</f>
        <v>0</v>
      </c>
      <c r="AF70" s="30">
        <f>$I$28*$AF$28</f>
        <v>0</v>
      </c>
    </row>
    <row r="71" spans="1:32" ht="11.25" customHeight="1" x14ac:dyDescent="0.3">
      <c r="A71" s="9" t="s">
        <v>40</v>
      </c>
      <c r="B71" s="9" t="s">
        <v>880</v>
      </c>
      <c r="C71" s="9" t="s">
        <v>881</v>
      </c>
      <c r="D71" s="9" t="s">
        <v>904</v>
      </c>
      <c r="E71" s="9" t="s">
        <v>905</v>
      </c>
      <c r="F71" s="9" t="s">
        <v>906</v>
      </c>
      <c r="G71" s="9" t="s">
        <v>908</v>
      </c>
      <c r="L71" s="30">
        <f>$I$29*$L$29</f>
        <v>0</v>
      </c>
      <c r="M71" s="30">
        <f>$I$29*$M$29</f>
        <v>0</v>
      </c>
      <c r="N71" s="30">
        <f>$I$29*$N$29</f>
        <v>0</v>
      </c>
      <c r="O71" s="30">
        <f>$I$29*$O$29</f>
        <v>0</v>
      </c>
      <c r="P71" s="30">
        <f>$I$29*$P$29</f>
        <v>0</v>
      </c>
      <c r="Q71" s="30">
        <f>$I$29*$Q$29</f>
        <v>0</v>
      </c>
      <c r="R71" s="30">
        <f>$I$29*$R$29</f>
        <v>0</v>
      </c>
      <c r="S71" s="30">
        <f>$I$29*$S$29</f>
        <v>0</v>
      </c>
      <c r="T71" s="30">
        <f>$I$29*$T$29</f>
        <v>0</v>
      </c>
      <c r="U71" s="30">
        <f>$I$29*$U$29</f>
        <v>0</v>
      </c>
      <c r="W71" s="30">
        <f>$I$29*$W$29</f>
        <v>0</v>
      </c>
      <c r="X71" s="30">
        <f>$I$29*$X$29</f>
        <v>0</v>
      </c>
      <c r="Y71" s="30">
        <f>$I$29*$Y$29</f>
        <v>0</v>
      </c>
      <c r="Z71" s="30">
        <f>$I$29*$Z$29</f>
        <v>0</v>
      </c>
      <c r="AA71" s="30">
        <f>$I$29*$AA$29</f>
        <v>0</v>
      </c>
      <c r="AB71" s="30">
        <f>$I$29*$AB$29</f>
        <v>0</v>
      </c>
      <c r="AC71" s="30">
        <f>$I$29*$AC$29</f>
        <v>0</v>
      </c>
      <c r="AD71" s="30">
        <f>$I$29*$AD$29</f>
        <v>0</v>
      </c>
      <c r="AE71" s="30">
        <f>$I$29*$AE$29</f>
        <v>0</v>
      </c>
      <c r="AF71" s="30">
        <f>$I$29*$AF$29</f>
        <v>0</v>
      </c>
    </row>
    <row r="72" spans="1:32" ht="11.25" customHeight="1" x14ac:dyDescent="0.3">
      <c r="A72" s="9" t="s">
        <v>40</v>
      </c>
      <c r="B72" s="9" t="s">
        <v>880</v>
      </c>
      <c r="C72" s="9" t="s">
        <v>881</v>
      </c>
      <c r="D72" s="9" t="s">
        <v>904</v>
      </c>
      <c r="E72" s="9" t="s">
        <v>905</v>
      </c>
      <c r="F72" s="9" t="s">
        <v>906</v>
      </c>
      <c r="G72" s="9" t="s">
        <v>909</v>
      </c>
      <c r="L72" s="30">
        <f>$I$30*$L$30</f>
        <v>0</v>
      </c>
      <c r="M72" s="30">
        <f>$I$30*$M$30</f>
        <v>0</v>
      </c>
      <c r="N72" s="30">
        <f>$I$30*$N$30</f>
        <v>0</v>
      </c>
      <c r="O72" s="30">
        <f>$I$30*$O$30</f>
        <v>0</v>
      </c>
      <c r="P72" s="30">
        <f>$I$30*$P$30</f>
        <v>0</v>
      </c>
      <c r="Q72" s="30">
        <f>$I$30*$Q$30</f>
        <v>0</v>
      </c>
      <c r="R72" s="30">
        <f>$I$30*$R$30</f>
        <v>0</v>
      </c>
      <c r="S72" s="30">
        <f>$I$30*$S$30</f>
        <v>0</v>
      </c>
      <c r="T72" s="30">
        <f>$I$30*$T$30</f>
        <v>0</v>
      </c>
      <c r="U72" s="30">
        <f>$I$30*$U$30</f>
        <v>0</v>
      </c>
      <c r="W72" s="30">
        <f>$I$30*$W$30</f>
        <v>0</v>
      </c>
      <c r="X72" s="30">
        <f>$I$30*$X$30</f>
        <v>0</v>
      </c>
      <c r="Y72" s="30">
        <f>$I$30*$Y$30</f>
        <v>0</v>
      </c>
      <c r="Z72" s="30">
        <f>$I$30*$Z$30</f>
        <v>0</v>
      </c>
      <c r="AA72" s="30">
        <f>$I$30*$AA$30</f>
        <v>0</v>
      </c>
      <c r="AB72" s="30">
        <f>$I$30*$AB$30</f>
        <v>0</v>
      </c>
      <c r="AC72" s="30">
        <f>$I$30*$AC$30</f>
        <v>0</v>
      </c>
      <c r="AD72" s="30">
        <f>$I$30*$AD$30</f>
        <v>0</v>
      </c>
      <c r="AE72" s="30">
        <f>$I$30*$AE$30</f>
        <v>0</v>
      </c>
      <c r="AF72" s="30">
        <f>$I$30*$AF$30</f>
        <v>0</v>
      </c>
    </row>
    <row r="73" spans="1:32" ht="11.25" customHeight="1" x14ac:dyDescent="0.3">
      <c r="A73" s="9" t="s">
        <v>40</v>
      </c>
      <c r="B73" s="9" t="s">
        <v>888</v>
      </c>
      <c r="C73" s="9" t="s">
        <v>889</v>
      </c>
      <c r="D73" s="9" t="s">
        <v>910</v>
      </c>
      <c r="E73" s="9" t="s">
        <v>911</v>
      </c>
      <c r="F73" s="9" t="s">
        <v>912</v>
      </c>
      <c r="G73" s="9" t="s">
        <v>913</v>
      </c>
      <c r="L73" s="30">
        <f>$I$31*$L$31</f>
        <v>0</v>
      </c>
      <c r="M73" s="30">
        <f>$I$31*$M$31</f>
        <v>0</v>
      </c>
      <c r="N73" s="30">
        <f>$I$31*$N$31</f>
        <v>0</v>
      </c>
      <c r="O73" s="30">
        <f>$I$31*$O$31</f>
        <v>0</v>
      </c>
      <c r="P73" s="30">
        <f>$I$31*$P$31</f>
        <v>0</v>
      </c>
      <c r="Q73" s="30">
        <f>$I$31*$Q$31</f>
        <v>0</v>
      </c>
      <c r="R73" s="30">
        <f>$I$31*$R$31</f>
        <v>0</v>
      </c>
      <c r="S73" s="30">
        <f>$I$31*$S$31</f>
        <v>0</v>
      </c>
      <c r="T73" s="30">
        <f>$I$31*$T$31</f>
        <v>0</v>
      </c>
      <c r="U73" s="30">
        <f>$I$31*$U$31</f>
        <v>0</v>
      </c>
      <c r="W73" s="30">
        <f>$I$31*$W$31</f>
        <v>0</v>
      </c>
      <c r="X73" s="30">
        <f>$I$31*$X$31</f>
        <v>0</v>
      </c>
      <c r="Y73" s="30">
        <f>$I$31*$Y$31</f>
        <v>0</v>
      </c>
      <c r="Z73" s="30">
        <f>$I$31*$Z$31</f>
        <v>0</v>
      </c>
      <c r="AA73" s="30">
        <f>$I$31*$AA$31</f>
        <v>0</v>
      </c>
      <c r="AB73" s="30">
        <f>$I$31*$AB$31</f>
        <v>0</v>
      </c>
      <c r="AC73" s="30">
        <f>$I$31*$AC$31</f>
        <v>0</v>
      </c>
      <c r="AD73" s="30">
        <f>$I$31*$AD$31</f>
        <v>0</v>
      </c>
      <c r="AE73" s="30">
        <f>$I$31*$AE$31</f>
        <v>0</v>
      </c>
      <c r="AF73" s="30">
        <f>$I$31*$AF$31</f>
        <v>0</v>
      </c>
    </row>
    <row r="74" spans="1:32" ht="11.25" customHeight="1" x14ac:dyDescent="0.3">
      <c r="A74" s="9" t="s">
        <v>40</v>
      </c>
      <c r="B74" s="9" t="s">
        <v>914</v>
      </c>
      <c r="C74" s="9" t="s">
        <v>915</v>
      </c>
      <c r="D74" s="9" t="s">
        <v>916</v>
      </c>
      <c r="E74" s="9" t="s">
        <v>917</v>
      </c>
      <c r="F74" s="9" t="s">
        <v>918</v>
      </c>
      <c r="G74" s="9" t="s">
        <v>919</v>
      </c>
      <c r="L74" s="30">
        <f>$I$32*$L$32</f>
        <v>0</v>
      </c>
      <c r="M74" s="30">
        <f>$I$32*$M$32</f>
        <v>0</v>
      </c>
      <c r="N74" s="30">
        <f>$I$32*$N$32</f>
        <v>0</v>
      </c>
      <c r="O74" s="30">
        <f>$I$32*$O$32</f>
        <v>0</v>
      </c>
      <c r="P74" s="30">
        <f>$I$32*$P$32</f>
        <v>0</v>
      </c>
      <c r="Q74" s="30">
        <f>$I$32*$Q$32</f>
        <v>0</v>
      </c>
      <c r="R74" s="30">
        <f>$I$32*$R$32</f>
        <v>0</v>
      </c>
      <c r="S74" s="30">
        <f>$I$32*$S$32</f>
        <v>0</v>
      </c>
      <c r="T74" s="30">
        <f>$I$32*$T$32</f>
        <v>0</v>
      </c>
      <c r="U74" s="30">
        <f>$I$32*$U$32</f>
        <v>0</v>
      </c>
      <c r="W74" s="30">
        <f>$I$32*$W$32</f>
        <v>0</v>
      </c>
      <c r="X74" s="30">
        <f>$I$32*$X$32</f>
        <v>0</v>
      </c>
      <c r="Y74" s="30">
        <f>$I$32*$Y$32</f>
        <v>0</v>
      </c>
      <c r="Z74" s="30">
        <f>$I$32*$Z$32</f>
        <v>0</v>
      </c>
      <c r="AA74" s="30">
        <f>$I$32*$AA$32</f>
        <v>0</v>
      </c>
      <c r="AB74" s="30">
        <f>$I$32*$AB$32</f>
        <v>0</v>
      </c>
      <c r="AC74" s="30">
        <f>$I$32*$AC$32</f>
        <v>0</v>
      </c>
      <c r="AD74" s="30">
        <f>$I$32*$AD$32</f>
        <v>0</v>
      </c>
      <c r="AE74" s="30">
        <f>$I$32*$AE$32</f>
        <v>0</v>
      </c>
      <c r="AF74" s="30">
        <f>$I$32*$AF$32</f>
        <v>0</v>
      </c>
    </row>
    <row r="75" spans="1:32" ht="11.25" customHeight="1" x14ac:dyDescent="0.3">
      <c r="A75" s="9" t="s">
        <v>40</v>
      </c>
      <c r="B75" s="9" t="s">
        <v>914</v>
      </c>
      <c r="C75" s="9" t="s">
        <v>915</v>
      </c>
      <c r="D75" s="9" t="s">
        <v>920</v>
      </c>
      <c r="E75" s="9" t="s">
        <v>921</v>
      </c>
      <c r="F75" s="9" t="s">
        <v>922</v>
      </c>
      <c r="G75" s="9" t="s">
        <v>923</v>
      </c>
      <c r="L75" s="30">
        <f>$I$33*$L$33</f>
        <v>0</v>
      </c>
      <c r="M75" s="30">
        <f>$I$33*$M$33</f>
        <v>0</v>
      </c>
      <c r="N75" s="30">
        <f>$I$33*$N$33</f>
        <v>0</v>
      </c>
      <c r="O75" s="30">
        <f>$I$33*$O$33</f>
        <v>0</v>
      </c>
      <c r="P75" s="30">
        <f>$I$33*$P$33</f>
        <v>0</v>
      </c>
      <c r="Q75" s="30">
        <f>$I$33*$Q$33</f>
        <v>0</v>
      </c>
      <c r="R75" s="30">
        <f>$I$33*$R$33</f>
        <v>0</v>
      </c>
      <c r="S75" s="30">
        <f>$I$33*$S$33</f>
        <v>0</v>
      </c>
      <c r="T75" s="30">
        <f>$I$33*$T$33</f>
        <v>0</v>
      </c>
      <c r="U75" s="30">
        <f>$I$33*$U$33</f>
        <v>0</v>
      </c>
      <c r="W75" s="30">
        <f>$I$33*$W$33</f>
        <v>0</v>
      </c>
      <c r="X75" s="30">
        <f>$I$33*$X$33</f>
        <v>0</v>
      </c>
      <c r="Y75" s="30">
        <f>$I$33*$Y$33</f>
        <v>0</v>
      </c>
      <c r="Z75" s="30">
        <f>$I$33*$Z$33</f>
        <v>0</v>
      </c>
      <c r="AA75" s="30">
        <f>$I$33*$AA$33</f>
        <v>0</v>
      </c>
      <c r="AB75" s="30">
        <f>$I$33*$AB$33</f>
        <v>0</v>
      </c>
      <c r="AC75" s="30">
        <f>$I$33*$AC$33</f>
        <v>0</v>
      </c>
      <c r="AD75" s="30">
        <f>$I$33*$AD$33</f>
        <v>0</v>
      </c>
      <c r="AE75" s="30">
        <f>$I$33*$AE$33</f>
        <v>0</v>
      </c>
      <c r="AF75" s="30">
        <f>$I$33*$AF$33</f>
        <v>0</v>
      </c>
    </row>
    <row r="76" spans="1:32" ht="11.25" customHeight="1" x14ac:dyDescent="0.3">
      <c r="A76" s="9" t="s">
        <v>40</v>
      </c>
      <c r="B76" s="9" t="s">
        <v>914</v>
      </c>
      <c r="C76" s="9" t="s">
        <v>915</v>
      </c>
      <c r="D76" s="9" t="s">
        <v>924</v>
      </c>
      <c r="E76" s="9" t="s">
        <v>925</v>
      </c>
      <c r="F76" s="9" t="s">
        <v>926</v>
      </c>
      <c r="G76" s="9" t="s">
        <v>927</v>
      </c>
      <c r="L76" s="30">
        <f>$I$34*$L$34</f>
        <v>0</v>
      </c>
      <c r="M76" s="30">
        <f>$I$34*$M$34</f>
        <v>0</v>
      </c>
      <c r="N76" s="30">
        <f>$I$34*$N$34</f>
        <v>0</v>
      </c>
      <c r="O76" s="30">
        <f>$I$34*$O$34</f>
        <v>0</v>
      </c>
      <c r="P76" s="30">
        <f>$I$34*$P$34</f>
        <v>0</v>
      </c>
      <c r="Q76" s="30">
        <f>$I$34*$Q$34</f>
        <v>0</v>
      </c>
      <c r="R76" s="30">
        <f>$I$34*$R$34</f>
        <v>0</v>
      </c>
      <c r="S76" s="30">
        <f>$I$34*$S$34</f>
        <v>0</v>
      </c>
      <c r="T76" s="30">
        <f>$I$34*$T$34</f>
        <v>0</v>
      </c>
      <c r="U76" s="30">
        <f>$I$34*$U$34</f>
        <v>0</v>
      </c>
      <c r="W76" s="30">
        <f>$I$34*$W$34</f>
        <v>0</v>
      </c>
      <c r="X76" s="30">
        <f>$I$34*$X$34</f>
        <v>0</v>
      </c>
      <c r="Y76" s="30">
        <f>$I$34*$Y$34</f>
        <v>0</v>
      </c>
      <c r="Z76" s="30">
        <f>$I$34*$Z$34</f>
        <v>0</v>
      </c>
      <c r="AA76" s="30">
        <f>$I$34*$AA$34</f>
        <v>0</v>
      </c>
      <c r="AB76" s="30">
        <f>$I$34*$AB$34</f>
        <v>0</v>
      </c>
      <c r="AC76" s="30">
        <f>$I$34*$AC$34</f>
        <v>0</v>
      </c>
      <c r="AD76" s="30">
        <f>$I$34*$AD$34</f>
        <v>0</v>
      </c>
      <c r="AE76" s="30">
        <f>$I$34*$AE$34</f>
        <v>0</v>
      </c>
      <c r="AF76" s="30">
        <f>$I$34*$AF$34</f>
        <v>0</v>
      </c>
    </row>
    <row r="77" spans="1:32" ht="11.25" customHeight="1" x14ac:dyDescent="0.3">
      <c r="A77" s="9" t="s">
        <v>33</v>
      </c>
      <c r="B77" s="9" t="s">
        <v>928</v>
      </c>
      <c r="C77" s="9" t="s">
        <v>929</v>
      </c>
      <c r="D77" s="9" t="s">
        <v>930</v>
      </c>
      <c r="E77" s="9" t="s">
        <v>931</v>
      </c>
      <c r="F77" s="9" t="s">
        <v>932</v>
      </c>
      <c r="G77" s="9" t="s">
        <v>933</v>
      </c>
      <c r="L77" s="30">
        <f>$I$35*$L$35</f>
        <v>0</v>
      </c>
      <c r="M77" s="30">
        <f>$I$35*$M$35</f>
        <v>0</v>
      </c>
      <c r="N77" s="30">
        <f>$I$35*$N$35</f>
        <v>0</v>
      </c>
      <c r="O77" s="30">
        <f>$I$35*$O$35</f>
        <v>0</v>
      </c>
      <c r="P77" s="30">
        <f>$I$35*$P$35</f>
        <v>0</v>
      </c>
      <c r="Q77" s="30">
        <f>$I$35*$Q$35</f>
        <v>0</v>
      </c>
      <c r="R77" s="30">
        <f>$I$35*$R$35</f>
        <v>0</v>
      </c>
      <c r="S77" s="30">
        <f>$I$35*$S$35</f>
        <v>0</v>
      </c>
      <c r="T77" s="30">
        <f>$I$35*$T$35</f>
        <v>0</v>
      </c>
      <c r="U77" s="30">
        <f>$I$35*$U$35</f>
        <v>0</v>
      </c>
      <c r="W77" s="30">
        <f>$I$35*$W$35</f>
        <v>0</v>
      </c>
      <c r="X77" s="30">
        <f>$I$35*$X$35</f>
        <v>0</v>
      </c>
      <c r="Y77" s="30">
        <f>$I$35*$Y$35</f>
        <v>0</v>
      </c>
      <c r="Z77" s="30">
        <f>$I$35*$Z$35</f>
        <v>0</v>
      </c>
      <c r="AA77" s="30">
        <f>$I$35*$AA$35</f>
        <v>0</v>
      </c>
      <c r="AB77" s="30">
        <f>$I$35*$AB$35</f>
        <v>0</v>
      </c>
      <c r="AC77" s="30">
        <f>$I$35*$AC$35</f>
        <v>0</v>
      </c>
      <c r="AD77" s="30">
        <f>$I$35*$AD$35</f>
        <v>0</v>
      </c>
      <c r="AE77" s="30">
        <f>$I$35*$AE$35</f>
        <v>0</v>
      </c>
      <c r="AF77" s="30">
        <f>$I$35*$AF$35</f>
        <v>0</v>
      </c>
    </row>
    <row r="78" spans="1:32" ht="11.25" customHeight="1" x14ac:dyDescent="0.3">
      <c r="A78" s="9" t="s">
        <v>33</v>
      </c>
      <c r="B78" s="9" t="s">
        <v>928</v>
      </c>
      <c r="C78" s="9" t="s">
        <v>929</v>
      </c>
      <c r="D78" s="9" t="s">
        <v>930</v>
      </c>
      <c r="E78" s="9" t="s">
        <v>931</v>
      </c>
      <c r="F78" s="9" t="s">
        <v>932</v>
      </c>
      <c r="G78" s="9" t="s">
        <v>934</v>
      </c>
      <c r="L78" s="30">
        <f>$I$36*$L$36</f>
        <v>0</v>
      </c>
      <c r="M78" s="30">
        <f>$I$36*$M$36</f>
        <v>0</v>
      </c>
      <c r="N78" s="30">
        <f>$I$36*$N$36</f>
        <v>0</v>
      </c>
      <c r="O78" s="30">
        <f>$I$36*$O$36</f>
        <v>0</v>
      </c>
      <c r="P78" s="30">
        <f>$I$36*$P$36</f>
        <v>0</v>
      </c>
      <c r="Q78" s="30">
        <f>$I$36*$Q$36</f>
        <v>0</v>
      </c>
      <c r="R78" s="30">
        <f>$I$36*$R$36</f>
        <v>0</v>
      </c>
      <c r="S78" s="30">
        <f>$I$36*$S$36</f>
        <v>0</v>
      </c>
      <c r="T78" s="30">
        <f>$I$36*$T$36</f>
        <v>0</v>
      </c>
      <c r="U78" s="30">
        <f>$I$36*$U$36</f>
        <v>0</v>
      </c>
      <c r="W78" s="30">
        <f>$I$36*$W$36</f>
        <v>0</v>
      </c>
      <c r="X78" s="30">
        <f>$I$36*$X$36</f>
        <v>0</v>
      </c>
      <c r="Y78" s="30">
        <f>$I$36*$Y$36</f>
        <v>0</v>
      </c>
      <c r="Z78" s="30">
        <f>$I$36*$Z$36</f>
        <v>0</v>
      </c>
      <c r="AA78" s="30">
        <f>$I$36*$AA$36</f>
        <v>0</v>
      </c>
      <c r="AB78" s="30">
        <f>$I$36*$AB$36</f>
        <v>0</v>
      </c>
      <c r="AC78" s="30">
        <f>$I$36*$AC$36</f>
        <v>0</v>
      </c>
      <c r="AD78" s="30">
        <f>$I$36*$AD$36</f>
        <v>0</v>
      </c>
      <c r="AE78" s="30">
        <f>$I$36*$AE$36</f>
        <v>0</v>
      </c>
      <c r="AF78" s="30">
        <f>$I$36*$AF$36</f>
        <v>0</v>
      </c>
    </row>
    <row r="79" spans="1:32" ht="11.25" customHeight="1" x14ac:dyDescent="0.3">
      <c r="A79" s="9" t="s">
        <v>33</v>
      </c>
      <c r="B79" s="9" t="s">
        <v>928</v>
      </c>
      <c r="C79" s="9" t="s">
        <v>929</v>
      </c>
      <c r="D79" s="9" t="s">
        <v>930</v>
      </c>
      <c r="E79" s="9" t="s">
        <v>931</v>
      </c>
      <c r="F79" s="9" t="s">
        <v>932</v>
      </c>
      <c r="G79" s="9" t="s">
        <v>935</v>
      </c>
      <c r="L79" s="30">
        <f>$I$37*$L$37</f>
        <v>0</v>
      </c>
      <c r="M79" s="30">
        <f>$I$37*$M$37</f>
        <v>0</v>
      </c>
      <c r="N79" s="30">
        <f>$I$37*$N$37</f>
        <v>0</v>
      </c>
      <c r="O79" s="30">
        <f>$I$37*$O$37</f>
        <v>0</v>
      </c>
      <c r="P79" s="30">
        <f>$I$37*$P$37</f>
        <v>0</v>
      </c>
      <c r="Q79" s="30">
        <f>$I$37*$Q$37</f>
        <v>0</v>
      </c>
      <c r="R79" s="30">
        <f>$I$37*$R$37</f>
        <v>0</v>
      </c>
      <c r="S79" s="30">
        <f>$I$37*$S$37</f>
        <v>0</v>
      </c>
      <c r="T79" s="30">
        <f>$I$37*$T$37</f>
        <v>0</v>
      </c>
      <c r="U79" s="30">
        <f>$I$37*$U$37</f>
        <v>0</v>
      </c>
      <c r="W79" s="30">
        <f>$I$37*$W$37</f>
        <v>0</v>
      </c>
      <c r="X79" s="30">
        <f>$I$37*$X$37</f>
        <v>0</v>
      </c>
      <c r="Y79" s="30">
        <f>$I$37*$Y$37</f>
        <v>0</v>
      </c>
      <c r="Z79" s="30">
        <f>$I$37*$Z$37</f>
        <v>0</v>
      </c>
      <c r="AA79" s="30">
        <f>$I$37*$AA$37</f>
        <v>0</v>
      </c>
      <c r="AB79" s="30">
        <f>$I$37*$AB$37</f>
        <v>0</v>
      </c>
      <c r="AC79" s="30">
        <f>$I$37*$AC$37</f>
        <v>0</v>
      </c>
      <c r="AD79" s="30">
        <f>$I$37*$AD$37</f>
        <v>0</v>
      </c>
      <c r="AE79" s="30">
        <f>$I$37*$AE$37</f>
        <v>0</v>
      </c>
      <c r="AF79" s="30">
        <f>$I$37*$AF$37</f>
        <v>0</v>
      </c>
    </row>
    <row r="80" spans="1:32" ht="11.25" customHeight="1" x14ac:dyDescent="0.3">
      <c r="A80" s="9" t="s">
        <v>33</v>
      </c>
      <c r="B80" s="9" t="s">
        <v>936</v>
      </c>
      <c r="C80" s="9" t="s">
        <v>937</v>
      </c>
      <c r="D80" s="9" t="s">
        <v>938</v>
      </c>
      <c r="E80" s="9" t="s">
        <v>939</v>
      </c>
      <c r="F80" s="9" t="s">
        <v>940</v>
      </c>
      <c r="G80" s="9" t="s">
        <v>941</v>
      </c>
      <c r="L80" s="30">
        <f>$I$38*$L$38</f>
        <v>0</v>
      </c>
      <c r="M80" s="30">
        <f>$I$38*$M$38</f>
        <v>0</v>
      </c>
      <c r="N80" s="30">
        <f>$I$38*$N$38</f>
        <v>0</v>
      </c>
      <c r="O80" s="30">
        <f>$I$38*$O$38</f>
        <v>0</v>
      </c>
      <c r="P80" s="30">
        <f>$I$38*$P$38</f>
        <v>1471835.2089584174</v>
      </c>
      <c r="Q80" s="30">
        <f>$I$38*$Q$38</f>
        <v>0</v>
      </c>
      <c r="R80" s="30">
        <f>$I$38*$R$38</f>
        <v>0</v>
      </c>
      <c r="S80" s="30">
        <f>$I$38*$S$38</f>
        <v>0</v>
      </c>
      <c r="T80" s="30">
        <f>$I$38*$T$38</f>
        <v>0</v>
      </c>
      <c r="U80" s="30">
        <f>$I$38*$U$38</f>
        <v>0</v>
      </c>
      <c r="W80" s="30">
        <f>$I$38*$W$38</f>
        <v>0</v>
      </c>
      <c r="X80" s="30">
        <f>$I$38*$X$38</f>
        <v>0</v>
      </c>
      <c r="Y80" s="30">
        <f>$I$38*$Y$38</f>
        <v>0</v>
      </c>
      <c r="Z80" s="30">
        <f>$I$38*$Z$38</f>
        <v>0</v>
      </c>
      <c r="AA80" s="30">
        <f>$I$38*$AA$38</f>
        <v>1344330.6642129985</v>
      </c>
      <c r="AB80" s="30">
        <f>$I$38*$AB$38</f>
        <v>0</v>
      </c>
      <c r="AC80" s="30">
        <f>$I$38*$AC$38</f>
        <v>0</v>
      </c>
      <c r="AD80" s="30">
        <f>$I$38*$AD$38</f>
        <v>0</v>
      </c>
      <c r="AE80" s="30">
        <f>$I$38*$AE$38</f>
        <v>-29328.828682460397</v>
      </c>
      <c r="AF80" s="30">
        <f>$I$38*$AF$38</f>
        <v>0</v>
      </c>
    </row>
    <row r="81" spans="1:32" ht="11.25" customHeight="1" x14ac:dyDescent="0.3">
      <c r="A81" s="9" t="s">
        <v>33</v>
      </c>
      <c r="B81" s="9" t="s">
        <v>942</v>
      </c>
      <c r="C81" s="9" t="s">
        <v>943</v>
      </c>
      <c r="D81" s="9" t="s">
        <v>944</v>
      </c>
      <c r="E81" s="9" t="s">
        <v>945</v>
      </c>
      <c r="F81" s="9" t="s">
        <v>946</v>
      </c>
      <c r="G81" s="9" t="s">
        <v>947</v>
      </c>
      <c r="L81" s="30">
        <f>$I$39*$L$39</f>
        <v>0</v>
      </c>
      <c r="M81" s="30">
        <f>$I$39*$M$39</f>
        <v>0</v>
      </c>
      <c r="N81" s="30">
        <f>$I$39*$N$39</f>
        <v>0</v>
      </c>
      <c r="O81" s="30">
        <f>$I$39*$O$39</f>
        <v>0</v>
      </c>
      <c r="P81" s="30">
        <f>$I$39*$P$39</f>
        <v>0</v>
      </c>
      <c r="Q81" s="30">
        <f>$I$39*$Q$39</f>
        <v>0</v>
      </c>
      <c r="R81" s="30">
        <f>$I$39*$R$39</f>
        <v>0</v>
      </c>
      <c r="S81" s="30">
        <f>$I$39*$S$39</f>
        <v>0</v>
      </c>
      <c r="T81" s="30">
        <f>$I$39*$T$39</f>
        <v>0</v>
      </c>
      <c r="U81" s="30">
        <f>$I$39*$U$39</f>
        <v>0</v>
      </c>
      <c r="W81" s="30">
        <f>$I$39*$W$39</f>
        <v>0</v>
      </c>
      <c r="X81" s="30">
        <f>$I$39*$X$39</f>
        <v>0</v>
      </c>
      <c r="Y81" s="30">
        <f>$I$39*$Y$39</f>
        <v>0</v>
      </c>
      <c r="Z81" s="30">
        <f>$I$39*$Z$39</f>
        <v>0</v>
      </c>
      <c r="AA81" s="30">
        <f>$I$39*$AA$39</f>
        <v>0</v>
      </c>
      <c r="AB81" s="30">
        <f>$I$39*$AB$39</f>
        <v>0</v>
      </c>
      <c r="AC81" s="30">
        <f>$I$39*$AC$39</f>
        <v>0</v>
      </c>
      <c r="AD81" s="30">
        <f>$I$39*$AD$39</f>
        <v>0</v>
      </c>
      <c r="AE81" s="30">
        <f>$I$39*$AE$39</f>
        <v>0</v>
      </c>
      <c r="AF81" s="30">
        <f>$I$39*$AF$39</f>
        <v>0</v>
      </c>
    </row>
    <row r="82" spans="1:32" ht="11.25" customHeight="1" x14ac:dyDescent="0.3">
      <c r="A82" s="9" t="s">
        <v>43</v>
      </c>
      <c r="B82" s="9" t="s">
        <v>948</v>
      </c>
      <c r="C82" s="9" t="s">
        <v>949</v>
      </c>
      <c r="D82" s="9" t="s">
        <v>950</v>
      </c>
      <c r="E82" s="9" t="s">
        <v>951</v>
      </c>
      <c r="F82" s="9" t="s">
        <v>952</v>
      </c>
      <c r="G82" s="9" t="s">
        <v>953</v>
      </c>
      <c r="L82" s="30">
        <f>$I$40*$L$40</f>
        <v>0</v>
      </c>
      <c r="M82" s="30">
        <f>$I$40*$M$40</f>
        <v>0</v>
      </c>
      <c r="N82" s="30">
        <f>$I$40*$N$40</f>
        <v>0</v>
      </c>
      <c r="O82" s="30">
        <f>$I$40*$O$40</f>
        <v>0</v>
      </c>
      <c r="P82" s="30">
        <f>$I$40*$P$40</f>
        <v>79689.197465035948</v>
      </c>
      <c r="Q82" s="30">
        <f>$I$40*$Q$40</f>
        <v>0</v>
      </c>
      <c r="R82" s="30">
        <f>$I$40*$R$40</f>
        <v>0</v>
      </c>
      <c r="S82" s="30">
        <f>$I$40*$S$40</f>
        <v>0</v>
      </c>
      <c r="T82" s="30">
        <f>$I$40*$T$40</f>
        <v>0</v>
      </c>
      <c r="U82" s="30">
        <f>$I$40*$U$40</f>
        <v>0</v>
      </c>
      <c r="W82" s="30">
        <f>$I$40*$W$40</f>
        <v>0</v>
      </c>
      <c r="X82" s="30">
        <f>$I$40*$X$40</f>
        <v>0</v>
      </c>
      <c r="Y82" s="30">
        <f>$I$40*$Y$40</f>
        <v>0</v>
      </c>
      <c r="Z82" s="30">
        <f>$I$40*$Z$40</f>
        <v>0</v>
      </c>
      <c r="AA82" s="30">
        <f>$I$40*$AA$40</f>
        <v>72785.751493596093</v>
      </c>
      <c r="AB82" s="30">
        <f>$I$40*$AB$40</f>
        <v>0</v>
      </c>
      <c r="AC82" s="30">
        <f>$I$40*$AC$40</f>
        <v>0</v>
      </c>
      <c r="AD82" s="30">
        <f>$I$40*$AD$40</f>
        <v>0</v>
      </c>
      <c r="AE82" s="30">
        <f>$I$40*$AE$40</f>
        <v>-1587.9432738592859</v>
      </c>
      <c r="AF82" s="30">
        <f>$I$40*$AF$40</f>
        <v>0</v>
      </c>
    </row>
    <row r="83" spans="1:32" ht="11.25" customHeight="1" x14ac:dyDescent="0.3">
      <c r="A83" s="9" t="s">
        <v>43</v>
      </c>
      <c r="B83" s="9" t="s">
        <v>948</v>
      </c>
      <c r="C83" s="9" t="s">
        <v>949</v>
      </c>
      <c r="D83" s="9" t="s">
        <v>954</v>
      </c>
      <c r="E83" s="9" t="s">
        <v>955</v>
      </c>
      <c r="F83" s="9" t="s">
        <v>956</v>
      </c>
      <c r="G83" s="9" t="s">
        <v>957</v>
      </c>
      <c r="L83" s="30">
        <f>$I$41*$L$41</f>
        <v>0</v>
      </c>
      <c r="M83" s="30">
        <f>$I$41*$M$41</f>
        <v>0</v>
      </c>
      <c r="N83" s="30">
        <f>$I$41*$N$41</f>
        <v>0</v>
      </c>
      <c r="O83" s="30">
        <f>$I$41*$O$41</f>
        <v>0</v>
      </c>
      <c r="P83" s="30">
        <f>$I$41*$P$41</f>
        <v>0</v>
      </c>
      <c r="Q83" s="30">
        <f>$I$41*$Q$41</f>
        <v>0</v>
      </c>
      <c r="R83" s="30">
        <f>$I$41*$R$41</f>
        <v>0</v>
      </c>
      <c r="S83" s="30">
        <f>$I$41*$S$41</f>
        <v>0</v>
      </c>
      <c r="T83" s="30">
        <f>$I$41*$T$41</f>
        <v>0</v>
      </c>
      <c r="U83" s="30">
        <f>$I$41*$U$41</f>
        <v>0</v>
      </c>
      <c r="W83" s="30">
        <f>$I$41*$W$41</f>
        <v>0</v>
      </c>
      <c r="X83" s="30">
        <f>$I$41*$X$41</f>
        <v>0</v>
      </c>
      <c r="Y83" s="30">
        <f>$I$41*$Y$41</f>
        <v>0</v>
      </c>
      <c r="Z83" s="30">
        <f>$I$41*$Z$41</f>
        <v>0</v>
      </c>
      <c r="AA83" s="30">
        <f>$I$41*$AA$41</f>
        <v>0</v>
      </c>
      <c r="AB83" s="30">
        <f>$I$41*$AB$41</f>
        <v>0</v>
      </c>
      <c r="AC83" s="30">
        <f>$I$41*$AC$41</f>
        <v>0</v>
      </c>
      <c r="AD83" s="30">
        <f>$I$41*$AD$41</f>
        <v>0</v>
      </c>
      <c r="AE83" s="30">
        <f>$I$41*$AE$41</f>
        <v>0</v>
      </c>
      <c r="AF83" s="30">
        <f>$I$41*$AF$41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U1"/>
    <mergeCell ref="L2:U2"/>
    <mergeCell ref="L3:O3"/>
    <mergeCell ref="Q3:S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W1:AF1"/>
    <mergeCell ref="W2:AF2"/>
    <mergeCell ref="W3:Z3"/>
    <mergeCell ref="AB3:AD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U43"/>
    <mergeCell ref="W43:AF43"/>
    <mergeCell ref="L44:U44"/>
    <mergeCell ref="W44:AF44"/>
    <mergeCell ref="L45:O45"/>
    <mergeCell ref="Q45:S45"/>
    <mergeCell ref="W45:Z45"/>
    <mergeCell ref="AB45:AD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9B8F-15D0-4CDE-A446-EF4397E97C14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6" bestFit="1" customWidth="1"/>
    <col min="2" max="2" width="12.44140625" style="16" bestFit="1" customWidth="1"/>
    <col min="3" max="7" width="10.33203125" style="16" bestFit="1" customWidth="1"/>
    <col min="8" max="8" width="8.6640625" style="16" bestFit="1" customWidth="1"/>
    <col min="9" max="9" width="8" style="16" bestFit="1" customWidth="1"/>
    <col min="10" max="10" width="7.33203125" style="16" bestFit="1" customWidth="1"/>
    <col min="11" max="11" width="7.109375" style="16" bestFit="1" customWidth="1"/>
    <col min="12" max="12" width="9.5546875" style="16" bestFit="1" customWidth="1"/>
    <col min="13" max="13" width="9.6640625" style="16" bestFit="1" customWidth="1"/>
    <col min="14" max="14" width="10" style="16" bestFit="1" customWidth="1"/>
    <col min="15" max="15" width="7.44140625" style="16" bestFit="1" customWidth="1"/>
    <col min="16" max="16" width="9.6640625" style="16" bestFit="1" customWidth="1"/>
    <col min="17" max="17" width="11" style="16" bestFit="1" customWidth="1"/>
    <col min="18" max="18" width="7.6640625" style="16" bestFit="1" customWidth="1"/>
    <col min="19" max="19" width="7.109375" style="16" bestFit="1" customWidth="1"/>
    <col min="20" max="20" width="14.5546875" style="16" bestFit="1" customWidth="1"/>
    <col min="21" max="21" width="17.6640625" style="16" bestFit="1" customWidth="1"/>
    <col min="22" max="22" width="18.44140625" style="16" bestFit="1" customWidth="1"/>
    <col min="23" max="23" width="6" style="16" bestFit="1" customWidth="1"/>
    <col min="24" max="24" width="10.88671875" style="16" bestFit="1" customWidth="1"/>
    <col min="25" max="26" width="9.109375" style="16"/>
    <col min="27" max="27" width="3" style="16" bestFit="1" customWidth="1"/>
    <col min="28" max="28" width="21.5546875" style="16" bestFit="1" customWidth="1"/>
    <col min="29" max="29" width="13.5546875" style="16" bestFit="1" customWidth="1"/>
    <col min="30" max="30" width="25.109375" style="16" bestFit="1" customWidth="1"/>
    <col min="31" max="33" width="10.33203125" style="16" bestFit="1" customWidth="1"/>
    <col min="34" max="16384" width="9.109375" style="16"/>
  </cols>
  <sheetData>
    <row r="1" spans="1:33" x14ac:dyDescent="0.2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61</v>
      </c>
      <c r="F1" s="16" t="s">
        <v>15</v>
      </c>
      <c r="G1" s="16" t="s">
        <v>63</v>
      </c>
      <c r="I1" s="16" t="s">
        <v>965</v>
      </c>
      <c r="AA1" s="16" t="s">
        <v>36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36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77</v>
      </c>
      <c r="AB2" s="16" t="s">
        <v>70</v>
      </c>
      <c r="AC2" s="16" t="s">
        <v>24</v>
      </c>
      <c r="AD2" s="16" t="s">
        <v>24</v>
      </c>
      <c r="AE2" s="16" t="s">
        <v>75</v>
      </c>
      <c r="AG2" s="16" t="s">
        <v>72</v>
      </c>
    </row>
    <row r="3" spans="1:33" x14ac:dyDescent="0.2">
      <c r="AA3" s="16" t="s">
        <v>22</v>
      </c>
      <c r="AB3" s="16" t="s">
        <v>76</v>
      </c>
      <c r="AC3" s="16" t="s">
        <v>41</v>
      </c>
      <c r="AD3" s="16" t="s">
        <v>29</v>
      </c>
      <c r="AE3" s="16" t="s">
        <v>78</v>
      </c>
      <c r="AG3" s="16" t="s">
        <v>73</v>
      </c>
    </row>
    <row r="4" spans="1:33" x14ac:dyDescent="0.2">
      <c r="AA4" s="16" t="s">
        <v>40</v>
      </c>
      <c r="AB4" s="16" t="s">
        <v>37</v>
      </c>
      <c r="AC4" s="16" t="s">
        <v>44</v>
      </c>
      <c r="AD4" s="16" t="s">
        <v>30</v>
      </c>
      <c r="AE4" s="16" t="s">
        <v>79</v>
      </c>
      <c r="AG4" s="16" t="s">
        <v>74</v>
      </c>
    </row>
    <row r="5" spans="1:33" x14ac:dyDescent="0.2">
      <c r="A5" s="16" t="s">
        <v>958</v>
      </c>
      <c r="B5" s="16" t="str">
        <f>TUSD!$AI$4</f>
        <v>CDE Covid TUSD</v>
      </c>
      <c r="C5" s="16" t="str">
        <f>TUSD!$AJ$4</f>
        <v>TFSEE</v>
      </c>
      <c r="D5" s="16" t="str">
        <f>TUSD!$AK$4</f>
        <v>P&amp;D</v>
      </c>
      <c r="E5" s="16" t="str">
        <f>TUSD!$AL$4</f>
        <v>ONS</v>
      </c>
      <c r="F5" s="16" t="str">
        <f>TUSD!$AM$4</f>
        <v>CCC</v>
      </c>
      <c r="G5" s="16" t="str">
        <f>TUSD!$AN$4</f>
        <v>CDE</v>
      </c>
      <c r="H5" s="16" t="str">
        <f>TUSD!$AO$4</f>
        <v>PROINFA</v>
      </c>
      <c r="I5" s="16" t="str">
        <f>TUSD!$AP$4</f>
        <v>LIMINAR 1</v>
      </c>
      <c r="J5" s="16" t="str">
        <f>TUSD!$AQ$4</f>
        <v>TUSD RB</v>
      </c>
      <c r="K5" s="16" t="str">
        <f>TUSD!$AR$4</f>
        <v>TUSD FR</v>
      </c>
      <c r="L5" s="16" t="str">
        <f>TUSD!$AS$4</f>
        <v>CONEXAO T</v>
      </c>
      <c r="M5" s="16" t="str">
        <f>TUSD!$AT$4</f>
        <v>CONEXAO D</v>
      </c>
      <c r="N5" s="16" t="str">
        <f>TUSD!$AU$4</f>
        <v>CUSD</v>
      </c>
      <c r="O5" s="16" t="str">
        <f>TUSD!$AV$4</f>
        <v>TUSDG-T</v>
      </c>
      <c r="P5" s="16" t="str">
        <f>TUSD!$AW$4</f>
        <v>TUSDG-ONS</v>
      </c>
      <c r="Q5" s="16" t="str">
        <f>TUSD!$AX$4</f>
        <v>DISTRIBUICAO</v>
      </c>
      <c r="R5" s="16" t="str">
        <f>TUSD!$AY$4</f>
        <v>SUBSIDIO</v>
      </c>
      <c r="S5" s="16" t="str">
        <f>TUSD!$AZ$4</f>
        <v>OUTROS</v>
      </c>
      <c r="T5" s="16" t="str">
        <f>TUSD!$BA$4</f>
        <v>PERDAS TECNICAS</v>
      </c>
      <c r="U5" s="16" t="str">
        <f>TUSD!$BB$4</f>
        <v>PERDAS RB/ PERDAS D</v>
      </c>
      <c r="V5" s="16" t="str">
        <f>TUSD!$BC$4</f>
        <v>PERDAS NAO TECNICAS</v>
      </c>
      <c r="W5" s="16" t="str">
        <f>TUSD!$BD$4</f>
        <v>RI</v>
      </c>
      <c r="X5" s="16" t="s">
        <v>384</v>
      </c>
      <c r="AA5" s="16" t="s">
        <v>33</v>
      </c>
      <c r="AB5" s="16" t="s">
        <v>82</v>
      </c>
      <c r="AD5" s="16" t="s">
        <v>31</v>
      </c>
      <c r="AG5" s="16" t="s">
        <v>9</v>
      </c>
    </row>
    <row r="6" spans="1:33" x14ac:dyDescent="0.2">
      <c r="A6" s="16" t="s">
        <v>959</v>
      </c>
      <c r="B6" s="57">
        <f>SUM(TUSD!$AI$57:'TUSD'!$AI$103)</f>
        <v>0</v>
      </c>
      <c r="C6" s="57">
        <f>SUM(TUSD!$AJ$57:'TUSD'!$AJ$103)</f>
        <v>42683.061999320627</v>
      </c>
      <c r="D6" s="57">
        <f>SUM(TUSD!$AK$57:'TUSD'!$AK$103)</f>
        <v>0</v>
      </c>
      <c r="E6" s="57">
        <f>SUM(TUSD!$AL$57:'TUSD'!$AL$103)</f>
        <v>0</v>
      </c>
      <c r="F6" s="57">
        <f>SUM(TUSD!$AM$57:'TUSD'!$AM$103)</f>
        <v>0</v>
      </c>
      <c r="G6" s="57">
        <f>SUM(TUSD!$AN$57:'TUSD'!$AN$103)</f>
        <v>2152279.2878892436</v>
      </c>
      <c r="H6" s="57">
        <f>SUM(TUSD!$AO$57:'TUSD'!$AO$103)</f>
        <v>182541.89765089366</v>
      </c>
      <c r="I6" s="57">
        <f>SUM(TUSD!$AP$57:'TUSD'!$AP$103)</f>
        <v>0</v>
      </c>
      <c r="J6" s="57">
        <f>SUM(TUSD!$AQ$57:'TUSD'!$AQ$103)</f>
        <v>0</v>
      </c>
      <c r="K6" s="57">
        <f>SUM(TUSD!$AR$57:'TUSD'!$AR$103)</f>
        <v>0</v>
      </c>
      <c r="L6" s="57">
        <f>SUM(TUSD!$AS$57:'TUSD'!$AS$103)</f>
        <v>0</v>
      </c>
      <c r="M6" s="57">
        <f>SUM(TUSD!$AT$57:'TUSD'!$AT$103)</f>
        <v>0</v>
      </c>
      <c r="N6" s="57">
        <f>SUM(TUSD!$AU$57:'TUSD'!$AU$103)</f>
        <v>3891421.7090230342</v>
      </c>
      <c r="O6" s="57">
        <f>SUM(TUSD!$AV$57:'TUSD'!$AV$103)</f>
        <v>0</v>
      </c>
      <c r="P6" s="57">
        <f>SUM(TUSD!$AW$57:'TUSD'!$AW$103)</f>
        <v>0</v>
      </c>
      <c r="Q6" s="57">
        <f>SUM(TUSD!$AX$57:'TUSD'!$AX$103)</f>
        <v>8602308.4742723685</v>
      </c>
      <c r="R6" s="57">
        <f>SUM(TUSD!$AY$57:'TUSD'!$AY$103)</f>
        <v>310524.20098619594</v>
      </c>
      <c r="S6" s="57">
        <f>SUM(TUSD!$AZ$57:'TUSD'!$AZ$103)</f>
        <v>0</v>
      </c>
      <c r="T6" s="57">
        <f>SUM(TUSD!$BA$57:'TUSD'!$BA$103)</f>
        <v>484549.23413458472</v>
      </c>
      <c r="U6" s="57">
        <f>SUM(TUSD!$BB$57:'TUSD'!$BB$103)</f>
        <v>0</v>
      </c>
      <c r="V6" s="57">
        <f>SUM(TUSD!$BC$57:'TUSD'!$BC$103)</f>
        <v>0</v>
      </c>
      <c r="W6" s="57">
        <f>SUM(TUSD!$BD$57:'TUSD'!$BD$103)</f>
        <v>0</v>
      </c>
      <c r="X6" s="57">
        <f t="shared" ref="X6:X11" si="0">SUM(B6:W6)</f>
        <v>15666307.86595564</v>
      </c>
      <c r="AA6" s="16" t="s">
        <v>43</v>
      </c>
      <c r="AB6" s="16" t="s">
        <v>23</v>
      </c>
      <c r="AD6" s="16" t="s">
        <v>32</v>
      </c>
      <c r="AG6" s="16" t="s">
        <v>68</v>
      </c>
    </row>
    <row r="7" spans="1:33" x14ac:dyDescent="0.2">
      <c r="A7" s="16" t="s">
        <v>960</v>
      </c>
      <c r="B7" s="57">
        <f>SUM(TUSD!$L$57:'TUSD'!$L$103)</f>
        <v>935971.90933797904</v>
      </c>
      <c r="C7" s="57">
        <f>SUM(TUSD!$M$57:'TUSD'!$M$103)</f>
        <v>45422.63036914343</v>
      </c>
      <c r="D7" s="57">
        <f ca="1">SUM(TUSD!$N$57:'TUSD'!$N$103)</f>
        <v>0</v>
      </c>
      <c r="E7" s="57">
        <f>SUM(TUSD!$O$57:'TUSD'!$O$103)</f>
        <v>0</v>
      </c>
      <c r="F7" s="57">
        <f>SUM(TUSD!$P$57:'TUSD'!$P$103)</f>
        <v>0</v>
      </c>
      <c r="G7" s="57">
        <f>SUM(TUSD!$Q$57:'TUSD'!$Q$103)</f>
        <v>1518507.0668462995</v>
      </c>
      <c r="H7" s="57">
        <f>SUM(TUSD!$R$57:'TUSD'!$R$103)</f>
        <v>269398.84328640031</v>
      </c>
      <c r="I7" s="57">
        <f>SUM(TUSD!$S$57:'TUSD'!$S$103)</f>
        <v>0</v>
      </c>
      <c r="J7" s="57">
        <f>SUM(TUSD!$T$57:'TUSD'!$T$103)</f>
        <v>0</v>
      </c>
      <c r="K7" s="57">
        <f>SUM(TUSD!$U$57:'TUSD'!$U$103)</f>
        <v>0</v>
      </c>
      <c r="L7" s="57">
        <f>SUM(TUSD!$V$57:'TUSD'!$V$103)</f>
        <v>0</v>
      </c>
      <c r="M7" s="57">
        <f>SUM(TUSD!$W$57:'TUSD'!$W$103)</f>
        <v>0</v>
      </c>
      <c r="N7" s="57">
        <f>SUM(TUSD!$X$57:'TUSD'!$X$103)</f>
        <v>7360723.0760558248</v>
      </c>
      <c r="O7" s="57">
        <f>SUM(TUSD!$Y$57:'TUSD'!$Y$103)</f>
        <v>0</v>
      </c>
      <c r="P7" s="57">
        <f>SUM(TUSD!$Z$57:'TUSD'!$Z$103)</f>
        <v>0</v>
      </c>
      <c r="Q7" s="57">
        <f>SUM(TUSD!$AA$57:'TUSD'!$AA$103)</f>
        <v>9385214.7124624923</v>
      </c>
      <c r="R7" s="57">
        <f ca="1">SUM(TUSD!$AB$57:'TUSD'!$AB$103)</f>
        <v>0</v>
      </c>
      <c r="S7" s="57">
        <f ca="1">SUM(TUSD!$AC$57:'TUSD'!$AC$103)</f>
        <v>0</v>
      </c>
      <c r="T7" s="57">
        <f>SUM(TUSD!$AD$57:'TUSD'!$AD$103)</f>
        <v>414436.76175290451</v>
      </c>
      <c r="U7" s="57">
        <f>SUM(TUSD!$AE$57:'TUSD'!$AE$103)</f>
        <v>0</v>
      </c>
      <c r="V7" s="57">
        <f ca="1">SUM(TUSD!$AF$57:'TUSD'!$AF$103)</f>
        <v>59151.397803659529</v>
      </c>
      <c r="W7" s="57">
        <f ca="1">SUM(TUSD!$AG$57:'TUSD'!$AG$103)</f>
        <v>0</v>
      </c>
      <c r="X7" s="57">
        <f t="shared" ca="1" si="0"/>
        <v>19988826.397914704</v>
      </c>
      <c r="AB7" s="16" t="s">
        <v>84</v>
      </c>
      <c r="AD7" s="16" t="s">
        <v>85</v>
      </c>
      <c r="AG7" s="16" t="s">
        <v>69</v>
      </c>
    </row>
    <row r="8" spans="1:33" x14ac:dyDescent="0.2">
      <c r="A8" s="16" t="s">
        <v>963</v>
      </c>
      <c r="B8" s="57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57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5012.8339169024439</v>
      </c>
      <c r="D8" s="57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57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57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57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261900.39215433568</v>
      </c>
      <c r="H8" s="57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25075.81511483651</v>
      </c>
      <c r="I8" s="57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57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57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57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57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57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404507.64098086383</v>
      </c>
      <c r="O8" s="57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57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57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908827.10564924474</v>
      </c>
      <c r="R8" s="57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33184.014653437822</v>
      </c>
      <c r="S8" s="57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57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32974.55822143062</v>
      </c>
      <c r="U8" s="57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57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57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57">
        <f t="shared" si="0"/>
        <v>1671482.3606910515</v>
      </c>
      <c r="AD8" s="16" t="s">
        <v>86</v>
      </c>
      <c r="AG8" s="16" t="s">
        <v>80</v>
      </c>
    </row>
    <row r="9" spans="1:33" x14ac:dyDescent="0.2">
      <c r="A9" s="16" t="s">
        <v>964</v>
      </c>
      <c r="B9" s="57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109907.18417147757</v>
      </c>
      <c r="C9" s="57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4776.020045821846</v>
      </c>
      <c r="D9" s="57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57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57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57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178311.79995520654</v>
      </c>
      <c r="H9" s="57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36836.042631026037</v>
      </c>
      <c r="I9" s="57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57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57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57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57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57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761487.20861797954</v>
      </c>
      <c r="O9" s="57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57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57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986820.29721273866</v>
      </c>
      <c r="R9" s="57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57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57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28063.371633597879</v>
      </c>
      <c r="U9" s="57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57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6383.9342362996922</v>
      </c>
      <c r="W9" s="57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57">
        <f t="shared" ca="1" si="0"/>
        <v>2112585.8585041473</v>
      </c>
      <c r="AD9" s="16" t="s">
        <v>45</v>
      </c>
    </row>
    <row r="10" spans="1:33" x14ac:dyDescent="0.2">
      <c r="A10" s="16" t="s">
        <v>961</v>
      </c>
      <c r="B10" s="57">
        <f>SUMIF(TUSD!$A$57:'TUSD'!$A$103,$A$2,TUSD!$AI$57:'TUSD'!$AI$103)</f>
        <v>0</v>
      </c>
      <c r="C10" s="57">
        <f>SUMIF(TUSD!$A$57:'TUSD'!$A$103,$A$2,TUSD!$AJ$57:'TUSD'!$AJ$103)</f>
        <v>5012.8339169024439</v>
      </c>
      <c r="D10" s="57">
        <f>SUMIF(TUSD!$A$57:'TUSD'!$A$103,$A$2,TUSD!$AK$57:'TUSD'!$AK$103)</f>
        <v>0</v>
      </c>
      <c r="E10" s="57">
        <f>SUMIF(TUSD!$A$57:'TUSD'!$A$103,$A$2,TUSD!$AL$57:'TUSD'!$AL$103)</f>
        <v>0</v>
      </c>
      <c r="F10" s="57">
        <f>SUMIF(TUSD!$A$57:'TUSD'!$A$103,$A$2,TUSD!$AM$57:'TUSD'!$AM$103)</f>
        <v>0</v>
      </c>
      <c r="G10" s="57">
        <f>SUMIF(TUSD!$A$57:'TUSD'!$A$103,$A$2,TUSD!$AN$57:'TUSD'!$AN$103)</f>
        <v>261900.39215433568</v>
      </c>
      <c r="H10" s="57">
        <f>SUMIF(TUSD!$A$57:'TUSD'!$A$103,$A$2,TUSD!$AO$57:'TUSD'!$AO$103)</f>
        <v>25075.81511483651</v>
      </c>
      <c r="I10" s="57">
        <f>SUMIF(TUSD!$A$57:'TUSD'!$A$103,$A$2,TUSD!$AP$57:'TUSD'!$AP$103)</f>
        <v>0</v>
      </c>
      <c r="J10" s="57">
        <f>SUMIF(TUSD!$A$57:'TUSD'!$A$103,$A$2,TUSD!$AQ$57:'TUSD'!$AQ$103)</f>
        <v>0</v>
      </c>
      <c r="K10" s="57">
        <f>SUMIF(TUSD!$A$57:'TUSD'!$A$103,$A$2,TUSD!$AR$57:'TUSD'!$AR$103)</f>
        <v>0</v>
      </c>
      <c r="L10" s="57">
        <f>SUMIF(TUSD!$A$57:'TUSD'!$A$103,$A$2,TUSD!$AS$57:'TUSD'!$AS$103)</f>
        <v>0</v>
      </c>
      <c r="M10" s="57">
        <f>SUMIF(TUSD!$A$57:'TUSD'!$A$103,$A$2,TUSD!$AT$57:'TUSD'!$AT$103)</f>
        <v>0</v>
      </c>
      <c r="N10" s="57">
        <f>SUMIF(TUSD!$A$57:'TUSD'!$A$103,$A$2,TUSD!$AU$57:'TUSD'!$AU$103)</f>
        <v>404507.64098086383</v>
      </c>
      <c r="O10" s="57">
        <f>SUMIF(TUSD!$A$57:'TUSD'!$A$103,$A$2,TUSD!$AV$57:'TUSD'!$AV$103)</f>
        <v>0</v>
      </c>
      <c r="P10" s="57">
        <f>SUMIF(TUSD!$A$57:'TUSD'!$A$103,$A$2,TUSD!$AW$57:'TUSD'!$AW$103)</f>
        <v>0</v>
      </c>
      <c r="Q10" s="57">
        <f>SUMIF(TUSD!$A$57:'TUSD'!$A$103,$A$2,TUSD!$AX$57:'TUSD'!$AX$103)</f>
        <v>908827.10564924474</v>
      </c>
      <c r="R10" s="57">
        <f>SUMIF(TUSD!$A$57:'TUSD'!$A$103,$A$2,TUSD!$AY$57:'TUSD'!$AY$103)</f>
        <v>33184.014653437822</v>
      </c>
      <c r="S10" s="57">
        <f>SUMIF(TUSD!$A$57:'TUSD'!$A$103,$A$2,TUSD!$AZ$57:'TUSD'!$AZ$103)</f>
        <v>0</v>
      </c>
      <c r="T10" s="57">
        <f>SUMIF(TUSD!$A$57:'TUSD'!$A$103,$A$2,TUSD!$BA$57:'TUSD'!$BA$103)</f>
        <v>32974.55822143062</v>
      </c>
      <c r="U10" s="57">
        <f>SUMIF(TUSD!$A$57:'TUSD'!$A$103,$A$2,TUSD!$BB$57:'TUSD'!$BB$103)</f>
        <v>0</v>
      </c>
      <c r="V10" s="57">
        <f>SUMIF(TUSD!$A$57:'TUSD'!$A$103,$A$2,TUSD!$BC$57:'TUSD'!$BC$103)</f>
        <v>0</v>
      </c>
      <c r="W10" s="57">
        <f>SUMIF(TUSD!$A$57:'TUSD'!$A$103,$A$2,TUSD!$BD$57:'TUSD'!$BD$103)</f>
        <v>0</v>
      </c>
      <c r="X10" s="57">
        <f t="shared" si="0"/>
        <v>1671482.3606910515</v>
      </c>
      <c r="AD10" s="16" t="s">
        <v>87</v>
      </c>
    </row>
    <row r="11" spans="1:33" x14ac:dyDescent="0.2">
      <c r="A11" s="16" t="s">
        <v>962</v>
      </c>
      <c r="B11" s="57">
        <f>SUMIF(TUSD!$A$57:'TUSD'!$A$103,$A$2,TUSD!$L$57:'TUSD'!$L$103)</f>
        <v>109907.18417147757</v>
      </c>
      <c r="C11" s="57">
        <f>SUMIF(TUSD!$A$57:'TUSD'!$A$103,$A$2,TUSD!$M$57:'TUSD'!$M$103)</f>
        <v>4776.020045821846</v>
      </c>
      <c r="D11" s="57">
        <f ca="1">SUMIF(TUSD!$A$57:'TUSD'!$A$103,$A$2,TUSD!$N$57:'TUSD'!$N$103)</f>
        <v>0</v>
      </c>
      <c r="E11" s="57">
        <f>SUMIF(TUSD!$A$57:'TUSD'!$A$103,$A$2,TUSD!$O$57:'TUSD'!$O$103)</f>
        <v>0</v>
      </c>
      <c r="F11" s="57">
        <f>SUMIF(TUSD!$A$57:'TUSD'!$A$103,$A$2,TUSD!$P$57:'TUSD'!$P$103)</f>
        <v>0</v>
      </c>
      <c r="G11" s="57">
        <f>SUMIF(TUSD!$A$57:'TUSD'!$A$103,$A$2,TUSD!$Q$57:'TUSD'!$Q$103)</f>
        <v>178311.79995520654</v>
      </c>
      <c r="H11" s="57">
        <f>SUMIF(TUSD!$A$57:'TUSD'!$A$103,$A$2,TUSD!$R$57:'TUSD'!$R$103)</f>
        <v>36836.042631026037</v>
      </c>
      <c r="I11" s="57">
        <f>SUMIF(TUSD!$A$57:'TUSD'!$A$103,$A$2,TUSD!$S$57:'TUSD'!$S$103)</f>
        <v>0</v>
      </c>
      <c r="J11" s="57">
        <f>SUMIF(TUSD!$A$57:'TUSD'!$A$103,$A$2,TUSD!$T$57:'TUSD'!$T$103)</f>
        <v>0</v>
      </c>
      <c r="K11" s="57">
        <f>SUMIF(TUSD!$A$57:'TUSD'!$A$103,$A$2,TUSD!$U$57:'TUSD'!$U$103)</f>
        <v>0</v>
      </c>
      <c r="L11" s="57">
        <f>SUMIF(TUSD!$A$57:'TUSD'!$A$103,$A$2,TUSD!$V$57:'TUSD'!$V$103)</f>
        <v>0</v>
      </c>
      <c r="M11" s="57">
        <f>SUMIF(TUSD!$A$57:'TUSD'!$A$103,$A$2,TUSD!$W$57:'TUSD'!$W$103)</f>
        <v>0</v>
      </c>
      <c r="N11" s="57">
        <f>SUMIF(TUSD!$A$57:'TUSD'!$A$103,$A$2,TUSD!$X$57:'TUSD'!$X$103)</f>
        <v>761487.20861797954</v>
      </c>
      <c r="O11" s="57">
        <f>SUMIF(TUSD!$A$57:'TUSD'!$A$103,$A$2,TUSD!$Y$57:'TUSD'!$Y$103)</f>
        <v>0</v>
      </c>
      <c r="P11" s="57">
        <f>SUMIF(TUSD!$A$57:'TUSD'!$A$103,$A$2,TUSD!$Z$57:'TUSD'!$Z$103)</f>
        <v>0</v>
      </c>
      <c r="Q11" s="57">
        <f>SUMIF(TUSD!$A$57:'TUSD'!$A$103,$A$2,TUSD!$AA$57:'TUSD'!$AA$103)</f>
        <v>986820.29721273866</v>
      </c>
      <c r="R11" s="57">
        <f ca="1">SUMIF(TUSD!$A$57:'TUSD'!$A$103,$A$2,TUSD!$AB$57:'TUSD'!$AB$103)</f>
        <v>0</v>
      </c>
      <c r="S11" s="57">
        <f ca="1">SUMIF(TUSD!$A$57:'TUSD'!$A$103,$A$2,TUSD!$AC$57:'TUSD'!$AC$103)</f>
        <v>0</v>
      </c>
      <c r="T11" s="57">
        <f>SUMIF(TUSD!$A$57:'TUSD'!$A$103,$A$2,TUSD!$AD$57:'TUSD'!$AD$103)</f>
        <v>28063.371633597879</v>
      </c>
      <c r="U11" s="57">
        <f>SUMIF(TUSD!$A$57:'TUSD'!$A$103,$A$2,TUSD!$AE$57:'TUSD'!$AE$103)</f>
        <v>0</v>
      </c>
      <c r="V11" s="57">
        <f ca="1">SUMIF(TUSD!$A$57:'TUSD'!$A$103,$A$2,TUSD!$AF$57:'TUSD'!$AF$103)</f>
        <v>6383.9342362996922</v>
      </c>
      <c r="W11" s="57">
        <f ca="1">SUMIF(TUSD!$A$57:'TUSD'!$A$103,$A$2,TUSD!$AG$57:'TUSD'!$AG$103)</f>
        <v>0</v>
      </c>
      <c r="X11" s="57">
        <f t="shared" ca="1" si="0"/>
        <v>2112585.8585041473</v>
      </c>
    </row>
    <row r="13" spans="1:33" x14ac:dyDescent="0.2">
      <c r="A13" s="16" t="s">
        <v>966</v>
      </c>
      <c r="B13" s="83">
        <f t="shared" ref="B13:X13" si="1">IF($X$6&lt;&gt;0,(B$7-B$6)/$X$6,0)</f>
        <v>5.974425610337545E-2</v>
      </c>
      <c r="C13" s="83">
        <f t="shared" si="1"/>
        <v>1.7487007106353002E-4</v>
      </c>
      <c r="D13" s="83">
        <f t="shared" ca="1" si="1"/>
        <v>0</v>
      </c>
      <c r="E13" s="83">
        <f t="shared" si="1"/>
        <v>0</v>
      </c>
      <c r="F13" s="83">
        <f t="shared" si="1"/>
        <v>0</v>
      </c>
      <c r="G13" s="83">
        <f t="shared" si="1"/>
        <v>-4.0454472519347764E-2</v>
      </c>
      <c r="H13" s="83">
        <f t="shared" si="1"/>
        <v>5.5441873336508959E-3</v>
      </c>
      <c r="I13" s="83">
        <f t="shared" si="1"/>
        <v>0</v>
      </c>
      <c r="J13" s="83">
        <f t="shared" si="1"/>
        <v>0</v>
      </c>
      <c r="K13" s="83">
        <f t="shared" si="1"/>
        <v>0</v>
      </c>
      <c r="L13" s="83">
        <f t="shared" si="1"/>
        <v>0</v>
      </c>
      <c r="M13" s="83">
        <f t="shared" si="1"/>
        <v>0</v>
      </c>
      <c r="N13" s="83">
        <f t="shared" si="1"/>
        <v>0.2214498397910275</v>
      </c>
      <c r="O13" s="83">
        <f t="shared" si="1"/>
        <v>0</v>
      </c>
      <c r="P13" s="83">
        <f t="shared" si="1"/>
        <v>0</v>
      </c>
      <c r="Q13" s="83">
        <f t="shared" si="1"/>
        <v>4.9973883118399114E-2</v>
      </c>
      <c r="R13" s="83">
        <f t="shared" ca="1" si="1"/>
        <v>-1.9821147627322851E-2</v>
      </c>
      <c r="S13" s="83">
        <f t="shared" ca="1" si="1"/>
        <v>0</v>
      </c>
      <c r="T13" s="83">
        <f t="shared" si="1"/>
        <v>-4.4753666901977086E-3</v>
      </c>
      <c r="U13" s="83">
        <f t="shared" si="1"/>
        <v>0</v>
      </c>
      <c r="V13" s="83">
        <f t="shared" ca="1" si="1"/>
        <v>3.77570760831281E-3</v>
      </c>
      <c r="W13" s="83">
        <f t="shared" ca="1" si="1"/>
        <v>0</v>
      </c>
      <c r="X13" s="83">
        <f t="shared" ca="1" si="1"/>
        <v>0.27591175718896116</v>
      </c>
    </row>
    <row r="14" spans="1:33" x14ac:dyDescent="0.2">
      <c r="A14" s="16" t="s">
        <v>967</v>
      </c>
      <c r="B14" s="83">
        <f t="shared" ref="B14:X14" si="2">IF($X$10&lt;&gt;0,(B$9-B$8)/$X$10,0)</f>
        <v>6.5754318894539782E-2</v>
      </c>
      <c r="C14" s="83">
        <f t="shared" si="2"/>
        <v>-1.4167895315550351E-4</v>
      </c>
      <c r="D14" s="83">
        <f t="shared" ca="1" si="2"/>
        <v>0</v>
      </c>
      <c r="E14" s="83">
        <f t="shared" si="2"/>
        <v>0</v>
      </c>
      <c r="F14" s="83">
        <f t="shared" si="2"/>
        <v>0</v>
      </c>
      <c r="G14" s="83">
        <f t="shared" si="2"/>
        <v>-5.0008659477908328E-2</v>
      </c>
      <c r="H14" s="83">
        <f t="shared" si="2"/>
        <v>7.0358071330931795E-3</v>
      </c>
      <c r="I14" s="83">
        <f t="shared" si="2"/>
        <v>0</v>
      </c>
      <c r="J14" s="83">
        <f t="shared" si="2"/>
        <v>0</v>
      </c>
      <c r="K14" s="83">
        <f t="shared" si="2"/>
        <v>0</v>
      </c>
      <c r="L14" s="83">
        <f t="shared" si="2"/>
        <v>0</v>
      </c>
      <c r="M14" s="83">
        <f t="shared" si="2"/>
        <v>0</v>
      </c>
      <c r="N14" s="83">
        <f t="shared" si="2"/>
        <v>0.21357064605188381</v>
      </c>
      <c r="O14" s="83">
        <f t="shared" si="2"/>
        <v>0</v>
      </c>
      <c r="P14" s="83">
        <f t="shared" si="2"/>
        <v>0</v>
      </c>
      <c r="Q14" s="83">
        <f t="shared" si="2"/>
        <v>4.6661091614062088E-2</v>
      </c>
      <c r="R14" s="83">
        <f t="shared" ca="1" si="2"/>
        <v>-1.985304507773468E-2</v>
      </c>
      <c r="S14" s="83">
        <f t="shared" ca="1" si="2"/>
        <v>0</v>
      </c>
      <c r="T14" s="83">
        <f t="shared" si="2"/>
        <v>-2.9382222052300199E-3</v>
      </c>
      <c r="U14" s="83">
        <f t="shared" si="2"/>
        <v>0</v>
      </c>
      <c r="V14" s="83">
        <f t="shared" ca="1" si="2"/>
        <v>3.8193249216583671E-3</v>
      </c>
      <c r="W14" s="83">
        <f t="shared" ca="1" si="2"/>
        <v>0</v>
      </c>
      <c r="X14" s="83">
        <f t="shared" ca="1" si="2"/>
        <v>0.26389958290120846</v>
      </c>
    </row>
    <row r="15" spans="1:33" x14ac:dyDescent="0.2">
      <c r="A15" s="16" t="s">
        <v>968</v>
      </c>
      <c r="B15" s="83">
        <f t="shared" ref="B15:X15" si="3">IF($X$8&lt;&gt;0,(B$9-B$8)/$X$8,0)</f>
        <v>6.5754318894539782E-2</v>
      </c>
      <c r="C15" s="83">
        <f t="shared" si="3"/>
        <v>-1.4167895315550351E-4</v>
      </c>
      <c r="D15" s="83">
        <f t="shared" ca="1" si="3"/>
        <v>0</v>
      </c>
      <c r="E15" s="83">
        <f t="shared" si="3"/>
        <v>0</v>
      </c>
      <c r="F15" s="83">
        <f t="shared" si="3"/>
        <v>0</v>
      </c>
      <c r="G15" s="83">
        <f t="shared" si="3"/>
        <v>-5.0008659477908328E-2</v>
      </c>
      <c r="H15" s="83">
        <f t="shared" si="3"/>
        <v>7.0358071330931795E-3</v>
      </c>
      <c r="I15" s="83">
        <f t="shared" si="3"/>
        <v>0</v>
      </c>
      <c r="J15" s="83">
        <f t="shared" si="3"/>
        <v>0</v>
      </c>
      <c r="K15" s="83">
        <f t="shared" si="3"/>
        <v>0</v>
      </c>
      <c r="L15" s="83">
        <f t="shared" si="3"/>
        <v>0</v>
      </c>
      <c r="M15" s="83">
        <f t="shared" si="3"/>
        <v>0</v>
      </c>
      <c r="N15" s="83">
        <f t="shared" si="3"/>
        <v>0.21357064605188381</v>
      </c>
      <c r="O15" s="83">
        <f t="shared" si="3"/>
        <v>0</v>
      </c>
      <c r="P15" s="83">
        <f t="shared" si="3"/>
        <v>0</v>
      </c>
      <c r="Q15" s="83">
        <f t="shared" si="3"/>
        <v>4.6661091614062088E-2</v>
      </c>
      <c r="R15" s="83">
        <f t="shared" ca="1" si="3"/>
        <v>-1.985304507773468E-2</v>
      </c>
      <c r="S15" s="83">
        <f t="shared" ca="1" si="3"/>
        <v>0</v>
      </c>
      <c r="T15" s="83">
        <f t="shared" si="3"/>
        <v>-2.9382222052300199E-3</v>
      </c>
      <c r="U15" s="83">
        <f t="shared" si="3"/>
        <v>0</v>
      </c>
      <c r="V15" s="83">
        <f t="shared" ca="1" si="3"/>
        <v>3.8193249216583671E-3</v>
      </c>
      <c r="W15" s="83">
        <f t="shared" ca="1" si="3"/>
        <v>0</v>
      </c>
      <c r="X15" s="83">
        <f t="shared" ca="1" si="3"/>
        <v>0.26389958290120846</v>
      </c>
    </row>
  </sheetData>
  <dataValidations count="6">
    <dataValidation type="list" allowBlank="1" showInputMessage="1" showErrorMessage="1" error="Deve-se selecionar grupo válido" sqref="A2" xr:uid="{A002EA1B-06C0-4A96-98B4-B5483EB6C57D}">
      <formula1>AA1:AA6</formula1>
    </dataValidation>
    <dataValidation type="list" allowBlank="1" showInputMessage="1" showErrorMessage="1" error="Deve-se selecionar grupo válido" sqref="B2" xr:uid="{510850D4-50DF-4F30-83B9-5C87DB47AF55}">
      <formula1>AB1:AB7</formula1>
    </dataValidation>
    <dataValidation type="list" allowBlank="1" showInputMessage="1" showErrorMessage="1" error="Deve-se selecionar grupo válido" sqref="C2 E2" xr:uid="{168BACE6-687B-431C-AEFE-268E7C96A3FD}">
      <formula1>AC1:AC4</formula1>
    </dataValidation>
    <dataValidation type="list" allowBlank="1" showInputMessage="1" showErrorMessage="1" error="Deve-se selecionar grupo válido" sqref="D2" xr:uid="{E3EB32E0-1445-4647-BF2C-A17A39A5BE66}">
      <formula1>AD1:AD10</formula1>
    </dataValidation>
    <dataValidation type="list" allowBlank="1" showInputMessage="1" showErrorMessage="1" error="Deve-se selecionar grupo válido" sqref="F2" xr:uid="{959C5623-224E-4A61-883D-D8AA62BA7321}">
      <formula1>AF1:AF1</formula1>
    </dataValidation>
    <dataValidation type="list" allowBlank="1" showInputMessage="1" showErrorMessage="1" error="Deve-se selecionar grupo válido" sqref="G2" xr:uid="{A734C140-87A3-4191-859A-CA50AD0BB9F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2C48-D805-4ECA-A363-7A66860AE032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6" bestFit="1" customWidth="1"/>
    <col min="2" max="2" width="10.5546875" style="16" bestFit="1" customWidth="1"/>
    <col min="3" max="5" width="10.33203125" style="16" bestFit="1" customWidth="1"/>
    <col min="6" max="6" width="14.88671875" style="16" bestFit="1" customWidth="1"/>
    <col min="7" max="7" width="10.33203125" style="16" bestFit="1" customWidth="1"/>
    <col min="8" max="8" width="9.5546875" style="16" bestFit="1" customWidth="1"/>
    <col min="9" max="9" width="6.44140625" style="16" bestFit="1" customWidth="1"/>
    <col min="10" max="10" width="7.6640625" style="16" bestFit="1" customWidth="1"/>
    <col min="11" max="11" width="10.6640625" style="16" bestFit="1" customWidth="1"/>
    <col min="12" max="12" width="10" style="16" bestFit="1" customWidth="1"/>
    <col min="13" max="26" width="9.109375" style="16"/>
    <col min="27" max="27" width="3" style="16" bestFit="1" customWidth="1"/>
    <col min="28" max="28" width="27.109375" style="16" bestFit="1" customWidth="1"/>
    <col min="29" max="29" width="13.5546875" style="16" bestFit="1" customWidth="1"/>
    <col min="30" max="30" width="25.109375" style="16" bestFit="1" customWidth="1"/>
    <col min="31" max="33" width="10.33203125" style="16" bestFit="1" customWidth="1"/>
    <col min="34" max="16384" width="9.109375" style="16"/>
  </cols>
  <sheetData>
    <row r="1" spans="1:33" x14ac:dyDescent="0.2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61</v>
      </c>
      <c r="F1" s="16" t="s">
        <v>15</v>
      </c>
      <c r="G1" s="16" t="s">
        <v>63</v>
      </c>
      <c r="I1" s="16" t="s">
        <v>965</v>
      </c>
      <c r="AA1" s="16" t="s">
        <v>36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36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22</v>
      </c>
      <c r="AB2" s="16" t="s">
        <v>66</v>
      </c>
      <c r="AC2" s="16" t="s">
        <v>24</v>
      </c>
      <c r="AD2" s="16" t="s">
        <v>24</v>
      </c>
      <c r="AG2" s="16" t="s">
        <v>68</v>
      </c>
    </row>
    <row r="3" spans="1:33" x14ac:dyDescent="0.2">
      <c r="AA3" s="16" t="s">
        <v>40</v>
      </c>
      <c r="AB3" s="16" t="s">
        <v>81</v>
      </c>
      <c r="AC3" s="16" t="s">
        <v>41</v>
      </c>
      <c r="AD3" s="16" t="s">
        <v>29</v>
      </c>
      <c r="AG3" s="16" t="s">
        <v>69</v>
      </c>
    </row>
    <row r="4" spans="1:33" x14ac:dyDescent="0.2">
      <c r="AA4" s="16" t="s">
        <v>33</v>
      </c>
      <c r="AB4" s="16" t="s">
        <v>83</v>
      </c>
      <c r="AC4" s="16" t="s">
        <v>44</v>
      </c>
      <c r="AD4" s="16" t="s">
        <v>30</v>
      </c>
      <c r="AG4" s="16" t="s">
        <v>80</v>
      </c>
    </row>
    <row r="5" spans="1:33" x14ac:dyDescent="0.2">
      <c r="A5" s="16" t="s">
        <v>958</v>
      </c>
      <c r="B5" s="16" t="str">
        <f>TE!$W$4</f>
        <v>P&amp;D</v>
      </c>
      <c r="C5" s="16" t="str">
        <f>TE!$X$4</f>
        <v>ESS/ERR</v>
      </c>
      <c r="D5" s="16" t="str">
        <f>TE!$Y$4</f>
        <v>CFURH</v>
      </c>
      <c r="E5" s="16" t="str">
        <f>TE!$Z$4</f>
        <v>CDE Covid TE</v>
      </c>
      <c r="F5" s="16" t="str">
        <f>TE!$AA$4</f>
        <v>ENERGIA REVENDA</v>
      </c>
      <c r="G5" s="16" t="str">
        <f>TE!$AB$4</f>
        <v>ITAIPU</v>
      </c>
      <c r="H5" s="16" t="str">
        <f>TE!$AC$4</f>
        <v>TUST ITAIPU</v>
      </c>
      <c r="I5" s="16" t="str">
        <f>TE!$AD$4</f>
        <v>TUST CI</v>
      </c>
      <c r="J5" s="16" t="str">
        <f>TE!$AE$4</f>
        <v>SUBSIDIO</v>
      </c>
      <c r="K5" s="16" t="str">
        <f>TE!$AF$4</f>
        <v>PERDAS RB/C</v>
      </c>
      <c r="L5" s="16" t="s">
        <v>384</v>
      </c>
      <c r="AA5" s="16" t="s">
        <v>43</v>
      </c>
      <c r="AD5" s="16" t="s">
        <v>31</v>
      </c>
      <c r="AG5" s="16" t="s">
        <v>74</v>
      </c>
    </row>
    <row r="6" spans="1:33" x14ac:dyDescent="0.2">
      <c r="A6" s="16" t="s">
        <v>959</v>
      </c>
      <c r="B6" s="57">
        <f>SUM(TE!$W$47:'TE'!$W$83)</f>
        <v>0</v>
      </c>
      <c r="C6" s="57">
        <f>SUM(TE!$X$47:'TE'!$X$83)</f>
        <v>0</v>
      </c>
      <c r="D6" s="57">
        <f>SUM(TE!$Y$47:'TE'!$Y$83)</f>
        <v>0</v>
      </c>
      <c r="E6" s="57">
        <f>SUM(TE!$Z$47:'TE'!$Z$83)</f>
        <v>0</v>
      </c>
      <c r="F6" s="57">
        <f>SUM(TE!$AA$47:'TE'!$AA$83)</f>
        <v>4062174.4532501833</v>
      </c>
      <c r="G6" s="57">
        <f>SUM(TE!$AB$47:'TE'!$AB$83)</f>
        <v>0</v>
      </c>
      <c r="H6" s="57">
        <f>SUM(TE!$AC$47:'TE'!$AC$83)</f>
        <v>0</v>
      </c>
      <c r="I6" s="57">
        <f>SUM(TE!$AD$47:'TE'!$AD$83)</f>
        <v>0</v>
      </c>
      <c r="J6" s="57">
        <f>SUM(TE!$AE$47:'TE'!$AE$83)</f>
        <v>-88623.150381969754</v>
      </c>
      <c r="K6" s="57">
        <f>SUM(TE!$AF$47:'TE'!$AF$83)</f>
        <v>0</v>
      </c>
      <c r="L6" s="57">
        <f t="shared" ref="L6:L11" si="0">SUM(B6:K6)</f>
        <v>3973551.3028682135</v>
      </c>
      <c r="AD6" s="16" t="s">
        <v>32</v>
      </c>
    </row>
    <row r="7" spans="1:33" x14ac:dyDescent="0.2">
      <c r="A7" s="16" t="s">
        <v>960</v>
      </c>
      <c r="B7" s="57">
        <f>SUM(TE!$L$47:'TE'!$L$83)</f>
        <v>0</v>
      </c>
      <c r="C7" s="57">
        <f>SUM(TE!$M$47:'TE'!$M$83)</f>
        <v>0</v>
      </c>
      <c r="D7" s="57">
        <f>SUM(TE!$N$47:'TE'!$N$83)</f>
        <v>0</v>
      </c>
      <c r="E7" s="57">
        <f>SUM(TE!$O$47:'TE'!$O$83)</f>
        <v>0</v>
      </c>
      <c r="F7" s="57">
        <f>SUM(TE!$P$47:'TE'!$P$83)</f>
        <v>4467996.0671570348</v>
      </c>
      <c r="G7" s="57">
        <f>SUM(TE!$Q$47:'TE'!$Q$83)</f>
        <v>0</v>
      </c>
      <c r="H7" s="57">
        <f>SUM(TE!$R$47:'TE'!$R$83)</f>
        <v>0</v>
      </c>
      <c r="I7" s="57">
        <f>SUM(TE!$S$47:'TE'!$S$83)</f>
        <v>0</v>
      </c>
      <c r="J7" s="57">
        <f>SUM(TE!$T$47:'TE'!$T$83)</f>
        <v>0</v>
      </c>
      <c r="K7" s="57">
        <f>SUM(TE!$U$47:'TE'!$U$83)</f>
        <v>0</v>
      </c>
      <c r="L7" s="57">
        <f t="shared" si="0"/>
        <v>4467996.0671570348</v>
      </c>
      <c r="AD7" s="16" t="s">
        <v>85</v>
      </c>
    </row>
    <row r="8" spans="1:33" x14ac:dyDescent="0.2">
      <c r="A8" s="16" t="s">
        <v>963</v>
      </c>
      <c r="B8" s="57">
        <f>IF($G$2&lt;&gt;"Não se aplica",SUMIF(TE!$G$47:'TE'!$G$83,$I$2,TE!$W$47:'TE'!$W$83),IF($F$2&lt;&gt;"Não se aplica",SUMIF(TE!$F$47:'TE'!$F$83,$I$2,TE!$W$47:'TE'!$W$83),IF($E$2&lt;&gt;"Não se aplica",SUMIF(TE!$E$47:'TE'!$E$83,$I$2,TE!$W$47:'TE'!$W$83),IF($D$2&lt;&gt;"Não se aplica",SUMIF(TE!$D$47:'TE'!$D$83,$I$2,TE!$W$47:'TE'!$W$83),IF($C$2&lt;&gt;"Não se aplica",SUMIF(TE!$C$47:'TE'!$C$83,$I$2,TE!$W$47:'TE'!$W$83),IF($B$2&lt;&gt;"Não se aplica",SUMIF(TE!$B$47:'TE'!$B$83,$I$2,TE!$W$47:'TE'!$W$83),SUMIF(TE!$A$47:'TE'!$A$83,$I$2,TE!$W$47:'TE'!$W$83)))))))</f>
        <v>0</v>
      </c>
      <c r="C8" s="57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D8" s="57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E8" s="57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F8" s="57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554100.33724748681</v>
      </c>
      <c r="G8" s="57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H8" s="57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0</v>
      </c>
      <c r="I8" s="57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J8" s="57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-12088.628413113554</v>
      </c>
      <c r="K8" s="57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L8" s="57">
        <f t="shared" si="0"/>
        <v>542011.70883437328</v>
      </c>
      <c r="AD8" s="16" t="s">
        <v>86</v>
      </c>
    </row>
    <row r="9" spans="1:33" x14ac:dyDescent="0.2">
      <c r="A9" s="16" t="s">
        <v>964</v>
      </c>
      <c r="B9" s="57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57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57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57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57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606654.60319170984</v>
      </c>
      <c r="G9" s="57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0</v>
      </c>
      <c r="H9" s="57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57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57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57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57">
        <f t="shared" si="0"/>
        <v>606654.60319170984</v>
      </c>
      <c r="AD9" s="16" t="s">
        <v>45</v>
      </c>
    </row>
    <row r="10" spans="1:33" x14ac:dyDescent="0.2">
      <c r="A10" s="16" t="s">
        <v>961</v>
      </c>
      <c r="B10" s="57">
        <f>SUMIF(TE!$A$47:'TE'!$A$83,$A$2,TE!$W$47:'TE'!$W$83)</f>
        <v>0</v>
      </c>
      <c r="C10" s="57">
        <f>SUMIF(TE!$A$47:'TE'!$A$83,$A$2,TE!$X$47:'TE'!$X$83)</f>
        <v>0</v>
      </c>
      <c r="D10" s="57">
        <f>SUMIF(TE!$A$47:'TE'!$A$83,$A$2,TE!$Y$47:'TE'!$Y$83)</f>
        <v>0</v>
      </c>
      <c r="E10" s="57">
        <f>SUMIF(TE!$A$47:'TE'!$A$83,$A$2,TE!$Z$47:'TE'!$Z$83)</f>
        <v>0</v>
      </c>
      <c r="F10" s="57">
        <f>SUMIF(TE!$A$47:'TE'!$A$83,$A$2,TE!$AA$47:'TE'!$AA$83)</f>
        <v>554100.33724748681</v>
      </c>
      <c r="G10" s="57">
        <f>SUMIF(TE!$A$47:'TE'!$A$83,$A$2,TE!$AB$47:'TE'!$AB$83)</f>
        <v>0</v>
      </c>
      <c r="H10" s="57">
        <f>SUMIF(TE!$A$47:'TE'!$A$83,$A$2,TE!$AC$47:'TE'!$AC$83)</f>
        <v>0</v>
      </c>
      <c r="I10" s="57">
        <f>SUMIF(TE!$A$47:'TE'!$A$83,$A$2,TE!$AD$47:'TE'!$AD$83)</f>
        <v>0</v>
      </c>
      <c r="J10" s="57">
        <f>SUMIF(TE!$A$47:'TE'!$A$83,$A$2,TE!$AE$47:'TE'!$AE$83)</f>
        <v>-12088.628413113554</v>
      </c>
      <c r="K10" s="57">
        <f>SUMIF(TE!$A$47:'TE'!$A$83,$A$2,TE!$AF$47:'TE'!$AF$83)</f>
        <v>0</v>
      </c>
      <c r="L10" s="57">
        <f t="shared" si="0"/>
        <v>542011.70883437328</v>
      </c>
      <c r="AD10" s="16" t="s">
        <v>87</v>
      </c>
    </row>
    <row r="11" spans="1:33" x14ac:dyDescent="0.2">
      <c r="A11" s="16" t="s">
        <v>962</v>
      </c>
      <c r="B11" s="57">
        <f>SUMIF(TE!$A$47:'TE'!$A$83,$A$2,TE!$L$47:'TE'!$L$83)</f>
        <v>0</v>
      </c>
      <c r="C11" s="57">
        <f>SUMIF(TE!$A$47:'TE'!$A$83,$A$2,TE!$M$47:'TE'!$M$83)</f>
        <v>0</v>
      </c>
      <c r="D11" s="57">
        <f>SUMIF(TE!$A$47:'TE'!$A$83,$A$2,TE!$N$47:'TE'!$N$83)</f>
        <v>0</v>
      </c>
      <c r="E11" s="57">
        <f>SUMIF(TE!$A$47:'TE'!$A$83,$A$2,TE!$O$47:'TE'!$O$83)</f>
        <v>0</v>
      </c>
      <c r="F11" s="57">
        <f>SUMIF(TE!$A$47:'TE'!$A$83,$A$2,TE!$P$47:'TE'!$P$83)</f>
        <v>606654.60319170984</v>
      </c>
      <c r="G11" s="57">
        <f>SUMIF(TE!$A$47:'TE'!$A$83,$A$2,TE!$Q$47:'TE'!$Q$83)</f>
        <v>0</v>
      </c>
      <c r="H11" s="57">
        <f>SUMIF(TE!$A$47:'TE'!$A$83,$A$2,TE!$R$47:'TE'!$R$83)</f>
        <v>0</v>
      </c>
      <c r="I11" s="57">
        <f>SUMIF(TE!$A$47:'TE'!$A$83,$A$2,TE!$S$47:'TE'!$S$83)</f>
        <v>0</v>
      </c>
      <c r="J11" s="57">
        <f>SUMIF(TE!$A$47:'TE'!$A$83,$A$2,TE!$T$47:'TE'!$T$83)</f>
        <v>0</v>
      </c>
      <c r="K11" s="57">
        <f>SUMIF(TE!$A$47:'TE'!$A$83,$A$2,TE!$U$47:'TE'!$U$83)</f>
        <v>0</v>
      </c>
      <c r="L11" s="57">
        <f t="shared" si="0"/>
        <v>606654.60319170984</v>
      </c>
    </row>
    <row r="13" spans="1:33" x14ac:dyDescent="0.2">
      <c r="A13" s="16" t="s">
        <v>966</v>
      </c>
      <c r="B13" s="83">
        <f t="shared" ref="B13:L13" si="1">IF($L$6&lt;&gt;0,(B$7-B$6)/$L$6,0)</f>
        <v>0</v>
      </c>
      <c r="C13" s="83">
        <f t="shared" si="1"/>
        <v>0</v>
      </c>
      <c r="D13" s="83">
        <f t="shared" si="1"/>
        <v>0</v>
      </c>
      <c r="E13" s="83">
        <f t="shared" si="1"/>
        <v>0</v>
      </c>
      <c r="F13" s="83">
        <f t="shared" si="1"/>
        <v>0.10213070952775137</v>
      </c>
      <c r="G13" s="83">
        <f t="shared" si="1"/>
        <v>0</v>
      </c>
      <c r="H13" s="83">
        <f t="shared" si="1"/>
        <v>0</v>
      </c>
      <c r="I13" s="83">
        <f t="shared" si="1"/>
        <v>0</v>
      </c>
      <c r="J13" s="83">
        <f t="shared" si="1"/>
        <v>2.2303260641934896E-2</v>
      </c>
      <c r="K13" s="83">
        <f t="shared" si="1"/>
        <v>0</v>
      </c>
      <c r="L13" s="83">
        <f t="shared" si="1"/>
        <v>0.12443397016968626</v>
      </c>
    </row>
    <row r="14" spans="1:33" x14ac:dyDescent="0.2">
      <c r="A14" s="16" t="s">
        <v>967</v>
      </c>
      <c r="B14" s="83">
        <f t="shared" ref="B14:L14" si="2">IF($L$10&lt;&gt;0,(B$9-B$8)/$L$10,0)</f>
        <v>0</v>
      </c>
      <c r="C14" s="83">
        <f t="shared" si="2"/>
        <v>0</v>
      </c>
      <c r="D14" s="83">
        <f t="shared" si="2"/>
        <v>0</v>
      </c>
      <c r="E14" s="83">
        <f t="shared" si="2"/>
        <v>0</v>
      </c>
      <c r="F14" s="83">
        <f t="shared" si="2"/>
        <v>9.6961495642306231E-2</v>
      </c>
      <c r="G14" s="83">
        <f t="shared" si="2"/>
        <v>0</v>
      </c>
      <c r="H14" s="83">
        <f t="shared" si="2"/>
        <v>0</v>
      </c>
      <c r="I14" s="83">
        <f t="shared" si="2"/>
        <v>0</v>
      </c>
      <c r="J14" s="83">
        <f t="shared" si="2"/>
        <v>2.2303260641934896E-2</v>
      </c>
      <c r="K14" s="83">
        <f t="shared" si="2"/>
        <v>0</v>
      </c>
      <c r="L14" s="83">
        <f t="shared" si="2"/>
        <v>0.11926475628424109</v>
      </c>
    </row>
    <row r="15" spans="1:33" x14ac:dyDescent="0.2">
      <c r="A15" s="16" t="s">
        <v>968</v>
      </c>
      <c r="B15" s="83">
        <f t="shared" ref="B15:L15" si="3">IF($L$8&lt;&gt;0,(B$9-B$8)/$L$8,0)</f>
        <v>0</v>
      </c>
      <c r="C15" s="83">
        <f t="shared" si="3"/>
        <v>0</v>
      </c>
      <c r="D15" s="83">
        <f t="shared" si="3"/>
        <v>0</v>
      </c>
      <c r="E15" s="83">
        <f t="shared" si="3"/>
        <v>0</v>
      </c>
      <c r="F15" s="83">
        <f t="shared" si="3"/>
        <v>9.6961495642306231E-2</v>
      </c>
      <c r="G15" s="83">
        <f t="shared" si="3"/>
        <v>0</v>
      </c>
      <c r="H15" s="83">
        <f t="shared" si="3"/>
        <v>0</v>
      </c>
      <c r="I15" s="83">
        <f t="shared" si="3"/>
        <v>0</v>
      </c>
      <c r="J15" s="83">
        <f t="shared" si="3"/>
        <v>2.2303260641934896E-2</v>
      </c>
      <c r="K15" s="83">
        <f t="shared" si="3"/>
        <v>0</v>
      </c>
      <c r="L15" s="83">
        <f t="shared" si="3"/>
        <v>0.11926475628424109</v>
      </c>
    </row>
  </sheetData>
  <dataValidations count="4">
    <dataValidation type="list" allowBlank="1" showInputMessage="1" showErrorMessage="1" sqref="A2 G2" xr:uid="{FC53F845-E298-46E0-91C7-C7BC68B8C3CA}">
      <formula1>AA1:AA5</formula1>
    </dataValidation>
    <dataValidation type="list" allowBlank="1" showInputMessage="1" showErrorMessage="1" sqref="B2 C2" xr:uid="{B09009FB-5EC8-4F28-A54D-7D80D4A84FA1}">
      <formula1>AB1:AB4</formula1>
    </dataValidation>
    <dataValidation type="list" allowBlank="1" showInputMessage="1" showErrorMessage="1" sqref="D2" xr:uid="{469CCD1F-585F-4FD4-ACA4-0B88CDADD41B}">
      <formula1>AD1:AD10</formula1>
    </dataValidation>
    <dataValidation type="list" allowBlank="1" showInputMessage="1" showErrorMessage="1" sqref="E2 F2" xr:uid="{9CFA9464-EB9A-4108-860A-B3A8EA81034C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0A86-2B54-432D-B43C-5462F5F4B7E3}">
  <dimension ref="B1:U16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69" t="s">
        <v>580</v>
      </c>
      <c r="C1" s="69" t="s">
        <v>581</v>
      </c>
      <c r="D1" s="69" t="s">
        <v>582</v>
      </c>
      <c r="E1" s="69" t="s">
        <v>2</v>
      </c>
      <c r="F1" s="69" t="s">
        <v>583</v>
      </c>
      <c r="G1" s="69" t="s">
        <v>489</v>
      </c>
      <c r="H1" s="69" t="s">
        <v>3</v>
      </c>
      <c r="I1" s="69" t="s">
        <v>584</v>
      </c>
      <c r="J1" s="69" t="s">
        <v>5</v>
      </c>
      <c r="K1" s="69" t="s">
        <v>1</v>
      </c>
      <c r="L1" s="69" t="s">
        <v>585</v>
      </c>
      <c r="M1" s="69" t="s">
        <v>586</v>
      </c>
      <c r="N1" s="69" t="s">
        <v>587</v>
      </c>
      <c r="O1" s="69" t="s">
        <v>588</v>
      </c>
      <c r="P1" s="69" t="s">
        <v>589</v>
      </c>
      <c r="Q1" s="69" t="s">
        <v>590</v>
      </c>
      <c r="R1" s="69" t="s">
        <v>591</v>
      </c>
      <c r="S1" s="69" t="s">
        <v>592</v>
      </c>
      <c r="T1" s="69" t="s">
        <v>593</v>
      </c>
      <c r="U1" s="69" t="s">
        <v>594</v>
      </c>
    </row>
    <row r="2" spans="2:21" x14ac:dyDescent="0.3">
      <c r="B2" s="68" t="s">
        <v>561</v>
      </c>
      <c r="C2" s="68">
        <v>4920</v>
      </c>
      <c r="D2" s="68">
        <v>5274</v>
      </c>
      <c r="E2" s="68" t="s">
        <v>23</v>
      </c>
      <c r="F2" s="68">
        <v>1</v>
      </c>
      <c r="G2" s="68" t="s">
        <v>562</v>
      </c>
      <c r="H2" s="68" t="s">
        <v>41</v>
      </c>
      <c r="I2" s="68" t="s">
        <v>25</v>
      </c>
      <c r="J2" s="68" t="s">
        <v>41</v>
      </c>
      <c r="K2" s="68" t="s">
        <v>40</v>
      </c>
      <c r="L2" s="68">
        <v>0.3</v>
      </c>
      <c r="M2" s="68">
        <v>0.24</v>
      </c>
      <c r="N2" s="68">
        <v>0.18</v>
      </c>
      <c r="O2" s="68">
        <v>0.12</v>
      </c>
      <c r="P2" s="68">
        <v>0.06</v>
      </c>
      <c r="Q2" s="68">
        <v>0</v>
      </c>
      <c r="R2" s="68"/>
      <c r="S2" s="68"/>
      <c r="T2" s="68"/>
      <c r="U2" s="68">
        <v>3</v>
      </c>
    </row>
    <row r="3" spans="2:21" x14ac:dyDescent="0.3">
      <c r="B3" s="68" t="s">
        <v>563</v>
      </c>
      <c r="C3" s="68">
        <v>6712</v>
      </c>
      <c r="D3" s="68">
        <v>5274</v>
      </c>
      <c r="E3" s="68" t="s">
        <v>70</v>
      </c>
      <c r="F3" s="68">
        <v>1</v>
      </c>
      <c r="G3" s="68" t="s">
        <v>562</v>
      </c>
      <c r="H3" s="68" t="s">
        <v>41</v>
      </c>
      <c r="I3" s="68" t="s">
        <v>25</v>
      </c>
      <c r="J3" s="68" t="s">
        <v>564</v>
      </c>
      <c r="K3" s="68" t="s">
        <v>36</v>
      </c>
      <c r="L3" s="68">
        <v>0.1</v>
      </c>
      <c r="M3" s="68">
        <v>0.08</v>
      </c>
      <c r="N3" s="68">
        <v>0.06</v>
      </c>
      <c r="O3" s="68">
        <v>0.04</v>
      </c>
      <c r="P3" s="68">
        <v>0.02</v>
      </c>
      <c r="Q3" s="68">
        <v>0</v>
      </c>
      <c r="R3" s="68"/>
      <c r="S3" s="68"/>
      <c r="T3" s="68"/>
      <c r="U3" s="68">
        <v>3</v>
      </c>
    </row>
    <row r="4" spans="2:21" x14ac:dyDescent="0.3">
      <c r="B4" s="68" t="s">
        <v>565</v>
      </c>
      <c r="C4" s="68">
        <v>6713</v>
      </c>
      <c r="D4" s="68">
        <v>5274</v>
      </c>
      <c r="E4" s="68" t="s">
        <v>37</v>
      </c>
      <c r="F4" s="68">
        <v>1</v>
      </c>
      <c r="G4" s="68" t="s">
        <v>562</v>
      </c>
      <c r="H4" s="68" t="s">
        <v>41</v>
      </c>
      <c r="I4" s="68" t="s">
        <v>25</v>
      </c>
      <c r="J4" s="68" t="s">
        <v>564</v>
      </c>
      <c r="K4" s="68" t="s">
        <v>36</v>
      </c>
      <c r="L4" s="68">
        <v>0.1</v>
      </c>
      <c r="M4" s="68">
        <v>0.08</v>
      </c>
      <c r="N4" s="68">
        <v>0.06</v>
      </c>
      <c r="O4" s="68">
        <v>0.04</v>
      </c>
      <c r="P4" s="68">
        <v>0.02</v>
      </c>
      <c r="Q4" s="68">
        <v>0</v>
      </c>
      <c r="R4" s="68"/>
      <c r="S4" s="68"/>
      <c r="T4" s="68"/>
      <c r="U4" s="68">
        <v>3</v>
      </c>
    </row>
    <row r="5" spans="2:21" x14ac:dyDescent="0.3">
      <c r="B5" s="68" t="s">
        <v>566</v>
      </c>
      <c r="C5" s="68">
        <v>6714</v>
      </c>
      <c r="D5" s="68">
        <v>5274</v>
      </c>
      <c r="E5" s="68" t="s">
        <v>23</v>
      </c>
      <c r="F5" s="68">
        <v>1</v>
      </c>
      <c r="G5" s="68" t="s">
        <v>562</v>
      </c>
      <c r="H5" s="68" t="s">
        <v>41</v>
      </c>
      <c r="I5" s="68" t="s">
        <v>25</v>
      </c>
      <c r="J5" s="68" t="s">
        <v>564</v>
      </c>
      <c r="K5" s="68" t="s">
        <v>36</v>
      </c>
      <c r="L5" s="68">
        <v>0.1</v>
      </c>
      <c r="M5" s="68">
        <v>0.08</v>
      </c>
      <c r="N5" s="68">
        <v>0.06</v>
      </c>
      <c r="O5" s="68">
        <v>0.04</v>
      </c>
      <c r="P5" s="68">
        <v>0.02</v>
      </c>
      <c r="Q5" s="68">
        <v>0</v>
      </c>
      <c r="R5" s="68"/>
      <c r="S5" s="68"/>
      <c r="T5" s="68"/>
      <c r="U5" s="68">
        <v>3</v>
      </c>
    </row>
    <row r="6" spans="2:21" x14ac:dyDescent="0.3">
      <c r="B6" s="68" t="s">
        <v>567</v>
      </c>
      <c r="C6" s="68">
        <v>6715</v>
      </c>
      <c r="D6" s="68">
        <v>5274</v>
      </c>
      <c r="E6" s="68" t="s">
        <v>70</v>
      </c>
      <c r="F6" s="68">
        <v>1</v>
      </c>
      <c r="G6" s="68" t="s">
        <v>562</v>
      </c>
      <c r="H6" s="68" t="s">
        <v>46</v>
      </c>
      <c r="I6" s="68" t="s">
        <v>47</v>
      </c>
      <c r="J6" s="68" t="s">
        <v>568</v>
      </c>
      <c r="K6" s="68" t="s">
        <v>36</v>
      </c>
      <c r="L6" s="68">
        <v>0.15</v>
      </c>
      <c r="M6" s="68">
        <v>0.12</v>
      </c>
      <c r="N6" s="68">
        <v>0.09</v>
      </c>
      <c r="O6" s="68">
        <v>0.06</v>
      </c>
      <c r="P6" s="68">
        <v>0.03</v>
      </c>
      <c r="Q6" s="68">
        <v>0</v>
      </c>
      <c r="R6" s="68"/>
      <c r="S6" s="68"/>
      <c r="T6" s="68"/>
      <c r="U6" s="68">
        <v>3</v>
      </c>
    </row>
    <row r="7" spans="2:21" x14ac:dyDescent="0.3">
      <c r="B7" s="68" t="s">
        <v>569</v>
      </c>
      <c r="C7" s="68">
        <v>6716</v>
      </c>
      <c r="D7" s="68">
        <v>5274</v>
      </c>
      <c r="E7" s="68" t="s">
        <v>37</v>
      </c>
      <c r="F7" s="68">
        <v>1</v>
      </c>
      <c r="G7" s="68" t="s">
        <v>562</v>
      </c>
      <c r="H7" s="68" t="s">
        <v>46</v>
      </c>
      <c r="I7" s="68" t="s">
        <v>47</v>
      </c>
      <c r="J7" s="68" t="s">
        <v>568</v>
      </c>
      <c r="K7" s="68" t="s">
        <v>36</v>
      </c>
      <c r="L7" s="68">
        <v>0.15</v>
      </c>
      <c r="M7" s="68">
        <v>0.12</v>
      </c>
      <c r="N7" s="68">
        <v>0.09</v>
      </c>
      <c r="O7" s="68">
        <v>0.06</v>
      </c>
      <c r="P7" s="68">
        <v>0.03</v>
      </c>
      <c r="Q7" s="68">
        <v>0</v>
      </c>
      <c r="R7" s="68"/>
      <c r="S7" s="68"/>
      <c r="T7" s="68"/>
      <c r="U7" s="68">
        <v>3</v>
      </c>
    </row>
    <row r="8" spans="2:21" x14ac:dyDescent="0.3">
      <c r="B8" s="68" t="s">
        <v>570</v>
      </c>
      <c r="C8" s="68">
        <v>6717</v>
      </c>
      <c r="D8" s="68">
        <v>5274</v>
      </c>
      <c r="E8" s="68" t="s">
        <v>571</v>
      </c>
      <c r="F8" s="68">
        <v>1</v>
      </c>
      <c r="G8" s="68" t="s">
        <v>562</v>
      </c>
      <c r="H8" s="68" t="s">
        <v>46</v>
      </c>
      <c r="I8" s="68" t="s">
        <v>47</v>
      </c>
      <c r="J8" s="68" t="s">
        <v>568</v>
      </c>
      <c r="K8" s="68" t="s">
        <v>36</v>
      </c>
      <c r="L8" s="68">
        <v>0.15</v>
      </c>
      <c r="M8" s="68">
        <v>0.12</v>
      </c>
      <c r="N8" s="68">
        <v>0.09</v>
      </c>
      <c r="O8" s="68">
        <v>0.06</v>
      </c>
      <c r="P8" s="68">
        <v>0.03</v>
      </c>
      <c r="Q8" s="68">
        <v>0</v>
      </c>
      <c r="R8" s="68"/>
      <c r="S8" s="68"/>
      <c r="T8" s="68"/>
      <c r="U8" s="68">
        <v>3</v>
      </c>
    </row>
    <row r="9" spans="2:21" x14ac:dyDescent="0.3">
      <c r="B9" s="68" t="s">
        <v>561</v>
      </c>
      <c r="C9" s="68">
        <v>6718</v>
      </c>
      <c r="D9" s="68">
        <v>5274</v>
      </c>
      <c r="E9" s="68" t="s">
        <v>23</v>
      </c>
      <c r="F9" s="68">
        <v>1</v>
      </c>
      <c r="G9" s="68" t="s">
        <v>562</v>
      </c>
      <c r="H9" s="68" t="s">
        <v>41</v>
      </c>
      <c r="I9" s="68" t="s">
        <v>25</v>
      </c>
      <c r="J9" s="68" t="s">
        <v>41</v>
      </c>
      <c r="K9" s="68" t="s">
        <v>40</v>
      </c>
      <c r="L9" s="68">
        <v>0.3</v>
      </c>
      <c r="M9" s="68">
        <v>0.24</v>
      </c>
      <c r="N9" s="68">
        <v>0.18</v>
      </c>
      <c r="O9" s="68">
        <v>0.12</v>
      </c>
      <c r="P9" s="68">
        <v>0.06</v>
      </c>
      <c r="Q9" s="68">
        <v>0</v>
      </c>
      <c r="R9" s="68"/>
      <c r="S9" s="68"/>
      <c r="T9" s="68"/>
      <c r="U9" s="68">
        <v>3</v>
      </c>
    </row>
    <row r="10" spans="2:21" x14ac:dyDescent="0.3">
      <c r="B10" s="68" t="s">
        <v>572</v>
      </c>
      <c r="C10" s="68">
        <v>6719</v>
      </c>
      <c r="D10" s="68">
        <v>5274</v>
      </c>
      <c r="E10" s="68" t="s">
        <v>82</v>
      </c>
      <c r="F10" s="68">
        <v>1</v>
      </c>
      <c r="G10" s="68" t="s">
        <v>562</v>
      </c>
      <c r="H10" s="68" t="s">
        <v>41</v>
      </c>
      <c r="I10" s="68" t="s">
        <v>25</v>
      </c>
      <c r="J10" s="68" t="s">
        <v>41</v>
      </c>
      <c r="K10" s="68" t="s">
        <v>40</v>
      </c>
      <c r="L10" s="68">
        <v>0.3</v>
      </c>
      <c r="M10" s="68">
        <v>0.24</v>
      </c>
      <c r="N10" s="68">
        <v>0.18</v>
      </c>
      <c r="O10" s="68">
        <v>0.12</v>
      </c>
      <c r="P10" s="68">
        <v>0.06</v>
      </c>
      <c r="Q10" s="68">
        <v>0</v>
      </c>
      <c r="R10" s="68"/>
      <c r="S10" s="68"/>
      <c r="T10" s="68"/>
      <c r="U10" s="68">
        <v>3</v>
      </c>
    </row>
    <row r="11" spans="2:21" x14ac:dyDescent="0.3">
      <c r="B11" s="68" t="s">
        <v>573</v>
      </c>
      <c r="C11" s="68">
        <v>6720</v>
      </c>
      <c r="D11" s="68">
        <v>5274</v>
      </c>
      <c r="E11" s="68" t="s">
        <v>23</v>
      </c>
      <c r="F11" s="68">
        <v>1</v>
      </c>
      <c r="G11" s="68" t="s">
        <v>562</v>
      </c>
      <c r="H11" s="68" t="s">
        <v>41</v>
      </c>
      <c r="I11" s="68" t="s">
        <v>85</v>
      </c>
      <c r="J11" s="68" t="s">
        <v>568</v>
      </c>
      <c r="K11" s="68" t="s">
        <v>40</v>
      </c>
      <c r="L11" s="68">
        <v>0.3</v>
      </c>
      <c r="M11" s="68">
        <v>0.24</v>
      </c>
      <c r="N11" s="68">
        <v>0.18</v>
      </c>
      <c r="O11" s="68">
        <v>0.12</v>
      </c>
      <c r="P11" s="68">
        <v>0.06</v>
      </c>
      <c r="Q11" s="68">
        <v>0</v>
      </c>
      <c r="R11" s="68"/>
      <c r="S11" s="68"/>
      <c r="T11" s="68"/>
      <c r="U11" s="68">
        <v>3</v>
      </c>
    </row>
    <row r="12" spans="2:21" x14ac:dyDescent="0.3">
      <c r="B12" s="68" t="s">
        <v>574</v>
      </c>
      <c r="C12" s="68">
        <v>6721</v>
      </c>
      <c r="D12" s="68">
        <v>5274</v>
      </c>
      <c r="E12" s="68" t="s">
        <v>575</v>
      </c>
      <c r="F12" s="68">
        <v>1</v>
      </c>
      <c r="G12" s="68" t="s">
        <v>562</v>
      </c>
      <c r="H12" s="68" t="s">
        <v>41</v>
      </c>
      <c r="I12" s="68" t="s">
        <v>85</v>
      </c>
      <c r="J12" s="68" t="s">
        <v>568</v>
      </c>
      <c r="K12" s="68" t="s">
        <v>40</v>
      </c>
      <c r="L12" s="68">
        <v>0.3</v>
      </c>
      <c r="M12" s="68">
        <v>0.24</v>
      </c>
      <c r="N12" s="68">
        <v>0.18</v>
      </c>
      <c r="O12" s="68">
        <v>0.12</v>
      </c>
      <c r="P12" s="68">
        <v>0.06</v>
      </c>
      <c r="Q12" s="68">
        <v>0</v>
      </c>
      <c r="R12" s="68"/>
      <c r="S12" s="68"/>
      <c r="T12" s="68"/>
      <c r="U12" s="68">
        <v>3</v>
      </c>
    </row>
    <row r="13" spans="2:21" x14ac:dyDescent="0.3">
      <c r="B13" s="68" t="s">
        <v>576</v>
      </c>
      <c r="C13" s="68">
        <v>6722</v>
      </c>
      <c r="D13" s="68">
        <v>5274</v>
      </c>
      <c r="E13" s="68" t="s">
        <v>23</v>
      </c>
      <c r="F13" s="68">
        <v>1</v>
      </c>
      <c r="G13" s="68" t="s">
        <v>562</v>
      </c>
      <c r="H13" s="68" t="s">
        <v>41</v>
      </c>
      <c r="I13" s="68" t="s">
        <v>86</v>
      </c>
      <c r="J13" s="68" t="s">
        <v>568</v>
      </c>
      <c r="K13" s="68" t="s">
        <v>40</v>
      </c>
      <c r="L13" s="68">
        <v>0.4</v>
      </c>
      <c r="M13" s="68">
        <v>0.32</v>
      </c>
      <c r="N13" s="68">
        <v>0.24</v>
      </c>
      <c r="O13" s="68">
        <v>0.16</v>
      </c>
      <c r="P13" s="68">
        <v>0.08</v>
      </c>
      <c r="Q13" s="68">
        <v>0</v>
      </c>
      <c r="R13" s="68"/>
      <c r="S13" s="68"/>
      <c r="T13" s="68"/>
      <c r="U13" s="68">
        <v>3</v>
      </c>
    </row>
    <row r="14" spans="2:21" x14ac:dyDescent="0.3">
      <c r="B14" s="68" t="s">
        <v>577</v>
      </c>
      <c r="C14" s="68">
        <v>6723</v>
      </c>
      <c r="D14" s="68">
        <v>5274</v>
      </c>
      <c r="E14" s="68" t="s">
        <v>575</v>
      </c>
      <c r="F14" s="68">
        <v>1</v>
      </c>
      <c r="G14" s="68" t="s">
        <v>562</v>
      </c>
      <c r="H14" s="68" t="s">
        <v>41</v>
      </c>
      <c r="I14" s="68" t="s">
        <v>86</v>
      </c>
      <c r="J14" s="68" t="s">
        <v>568</v>
      </c>
      <c r="K14" s="68" t="s">
        <v>40</v>
      </c>
      <c r="L14" s="68">
        <v>0.4</v>
      </c>
      <c r="M14" s="68">
        <v>0.32</v>
      </c>
      <c r="N14" s="68">
        <v>0.24</v>
      </c>
      <c r="O14" s="68">
        <v>0.16</v>
      </c>
      <c r="P14" s="68">
        <v>0.08</v>
      </c>
      <c r="Q14" s="68">
        <v>0</v>
      </c>
      <c r="R14" s="68"/>
      <c r="S14" s="68"/>
      <c r="T14" s="68"/>
      <c r="U14" s="68">
        <v>3</v>
      </c>
    </row>
    <row r="15" spans="2:21" x14ac:dyDescent="0.3">
      <c r="B15" s="68" t="s">
        <v>578</v>
      </c>
      <c r="C15" s="68">
        <v>6724</v>
      </c>
      <c r="D15" s="68">
        <v>5274</v>
      </c>
      <c r="E15" s="68" t="s">
        <v>23</v>
      </c>
      <c r="F15" s="68">
        <v>1</v>
      </c>
      <c r="G15" s="68" t="s">
        <v>562</v>
      </c>
      <c r="H15" s="68" t="s">
        <v>46</v>
      </c>
      <c r="I15" s="68" t="s">
        <v>47</v>
      </c>
      <c r="J15" s="68" t="s">
        <v>568</v>
      </c>
      <c r="K15" s="68" t="s">
        <v>33</v>
      </c>
      <c r="L15" s="68">
        <v>0.15</v>
      </c>
      <c r="M15" s="68">
        <v>0.12</v>
      </c>
      <c r="N15" s="68">
        <v>0.09</v>
      </c>
      <c r="O15" s="68">
        <v>0.06</v>
      </c>
      <c r="P15" s="68">
        <v>0.03</v>
      </c>
      <c r="Q15" s="68">
        <v>0</v>
      </c>
      <c r="R15" s="68"/>
      <c r="S15" s="68"/>
      <c r="T15" s="68"/>
      <c r="U15" s="68">
        <v>3</v>
      </c>
    </row>
    <row r="16" spans="2:21" x14ac:dyDescent="0.3">
      <c r="B16" s="68" t="s">
        <v>579</v>
      </c>
      <c r="C16" s="68">
        <v>6725</v>
      </c>
      <c r="D16" s="68">
        <v>5274</v>
      </c>
      <c r="E16" s="68" t="s">
        <v>82</v>
      </c>
      <c r="F16" s="68">
        <v>1</v>
      </c>
      <c r="G16" s="68" t="s">
        <v>562</v>
      </c>
      <c r="H16" s="68" t="s">
        <v>46</v>
      </c>
      <c r="I16" s="68" t="s">
        <v>47</v>
      </c>
      <c r="J16" s="68" t="s">
        <v>568</v>
      </c>
      <c r="K16" s="68" t="s">
        <v>33</v>
      </c>
      <c r="L16" s="68">
        <v>0.15</v>
      </c>
      <c r="M16" s="68">
        <v>0.12</v>
      </c>
      <c r="N16" s="68">
        <v>0.09</v>
      </c>
      <c r="O16" s="68">
        <v>0.06</v>
      </c>
      <c r="P16" s="68">
        <v>0.03</v>
      </c>
      <c r="Q16" s="68">
        <v>0</v>
      </c>
      <c r="R16" s="68"/>
      <c r="S16" s="68"/>
      <c r="T16" s="68"/>
      <c r="U16" s="6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EFA-62B8-42A1-A3FF-0866D8927EA9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6" bestFit="1" customWidth="1"/>
    <col min="2" max="2" width="18.44140625" style="16" customWidth="1"/>
    <col min="3" max="12" width="11" style="16" customWidth="1"/>
    <col min="13" max="16384" width="9.109375" style="16"/>
  </cols>
  <sheetData>
    <row r="1" spans="1:12" ht="10.8" thickBot="1" x14ac:dyDescent="0.25">
      <c r="A1" s="103" t="s">
        <v>983</v>
      </c>
      <c r="B1" s="103" t="s">
        <v>22</v>
      </c>
      <c r="C1" s="103" t="s">
        <v>982</v>
      </c>
      <c r="D1" s="103" t="s">
        <v>981</v>
      </c>
      <c r="E1" s="103" t="s">
        <v>33</v>
      </c>
      <c r="F1" s="103" t="s">
        <v>980</v>
      </c>
      <c r="G1" s="103" t="s">
        <v>979</v>
      </c>
      <c r="H1" s="103" t="s">
        <v>482</v>
      </c>
      <c r="I1" s="103" t="s">
        <v>36</v>
      </c>
      <c r="J1" s="103" t="s">
        <v>481</v>
      </c>
      <c r="K1" s="103" t="s">
        <v>480</v>
      </c>
      <c r="L1" s="103" t="s">
        <v>479</v>
      </c>
    </row>
    <row r="2" spans="1:12" x14ac:dyDescent="0.2">
      <c r="A2" s="99" t="s">
        <v>978</v>
      </c>
      <c r="B2" s="10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1360.0733012494618</v>
      </c>
      <c r="C2" s="105">
        <f t="shared" si="0"/>
        <v>1278.1622843948242</v>
      </c>
      <c r="D2" s="105">
        <f t="shared" si="0"/>
        <v>1251.004621052645</v>
      </c>
      <c r="E2" s="105">
        <f t="shared" si="0"/>
        <v>1360.0733012494618</v>
      </c>
      <c r="F2" s="105">
        <f t="shared" si="0"/>
        <v>720.55413222394975</v>
      </c>
      <c r="G2" s="105">
        <f t="shared" si="0"/>
        <v>788.88631740749781</v>
      </c>
      <c r="H2" s="105">
        <f t="shared" si="0"/>
        <v>0</v>
      </c>
      <c r="I2" s="105">
        <f t="shared" si="0"/>
        <v>1792.5931950594531</v>
      </c>
      <c r="J2" s="105">
        <f t="shared" si="0"/>
        <v>0</v>
      </c>
      <c r="K2" s="105">
        <f t="shared" si="0"/>
        <v>0</v>
      </c>
      <c r="L2" s="105">
        <f t="shared" si="0"/>
        <v>0</v>
      </c>
    </row>
    <row r="3" spans="1:12" ht="10.8" thickBot="1" x14ac:dyDescent="0.25">
      <c r="A3" s="97" t="s">
        <v>977</v>
      </c>
      <c r="B3" s="104">
        <v>31.05</v>
      </c>
      <c r="C3" s="104">
        <v>29.18</v>
      </c>
      <c r="D3" s="104">
        <v>28.56</v>
      </c>
      <c r="E3" s="104">
        <v>31.05</v>
      </c>
      <c r="F3" s="104">
        <v>16.45</v>
      </c>
      <c r="G3" s="104">
        <v>18.010000000000002</v>
      </c>
      <c r="H3" s="104">
        <v>0</v>
      </c>
      <c r="I3" s="104">
        <f>'TUSD BE'!$AC$6</f>
        <v>40.924278607235877</v>
      </c>
      <c r="J3" s="104">
        <v>0</v>
      </c>
      <c r="K3" s="104">
        <v>0</v>
      </c>
      <c r="L3" s="104">
        <v>0</v>
      </c>
    </row>
    <row r="5" spans="1:12" ht="10.8" thickBot="1" x14ac:dyDescent="0.25">
      <c r="A5" s="103" t="s">
        <v>976</v>
      </c>
      <c r="B5" s="103" t="s">
        <v>975</v>
      </c>
    </row>
    <row r="6" spans="1:12" x14ac:dyDescent="0.2">
      <c r="A6" s="99" t="s">
        <v>974</v>
      </c>
      <c r="B6" s="102">
        <v>9.9499999999999991E-2</v>
      </c>
    </row>
    <row r="7" spans="1:12" x14ac:dyDescent="0.2">
      <c r="A7" s="101" t="s">
        <v>973</v>
      </c>
      <c r="B7" s="100">
        <v>0</v>
      </c>
    </row>
    <row r="8" spans="1:12" x14ac:dyDescent="0.2">
      <c r="A8" s="99" t="s">
        <v>972</v>
      </c>
      <c r="B8" s="98">
        <v>7073744.7000000002</v>
      </c>
    </row>
    <row r="9" spans="1:12" x14ac:dyDescent="0.2">
      <c r="A9" s="101" t="s">
        <v>971</v>
      </c>
      <c r="B9" s="100">
        <v>0.04</v>
      </c>
    </row>
    <row r="10" spans="1:12" x14ac:dyDescent="0.2">
      <c r="A10" s="99" t="s">
        <v>970</v>
      </c>
      <c r="B10" s="98">
        <v>4240051.95</v>
      </c>
    </row>
    <row r="11" spans="1:12" ht="10.8" thickBot="1" x14ac:dyDescent="0.25">
      <c r="A11" s="97" t="s">
        <v>969</v>
      </c>
      <c r="B11" s="96">
        <f>(1+$B$6)^(1/IF($B$9&lt;&gt;0,$B$9,1))*$B$6/IF((1+$B$6)^(1/IF($B$9&lt;&gt;0,$B$9,1))-1&lt;&gt;0,(1+$B$6)^(1/IF($B$9&lt;&gt;0,$B$9,1))-1,1)</f>
        <v>0.10974479022947647</v>
      </c>
    </row>
    <row r="18" spans="2:2" x14ac:dyDescent="0.2">
      <c r="B18" s="9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05BA-FA07-4A69-A3E0-7F2A8385A9D4}">
  <dimension ref="B1:AQ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9" t="s">
        <v>1020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1021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3">
      <c r="L2" s="151" t="s">
        <v>348</v>
      </c>
      <c r="M2" s="151"/>
      <c r="N2" s="151"/>
      <c r="O2" s="151"/>
      <c r="P2" s="151"/>
      <c r="Q2" s="151"/>
      <c r="R2" s="151"/>
      <c r="S2" s="152"/>
      <c r="T2" s="151" t="s">
        <v>357</v>
      </c>
      <c r="U2" s="151"/>
      <c r="V2" s="151"/>
      <c r="W2" s="151"/>
      <c r="X2" s="151"/>
      <c r="Y2" s="151"/>
      <c r="Z2" s="152"/>
      <c r="AA2" s="153" t="s">
        <v>365</v>
      </c>
      <c r="AB2" s="151" t="s">
        <v>25</v>
      </c>
      <c r="AC2" s="152"/>
      <c r="AD2" s="151" t="s">
        <v>1019</v>
      </c>
      <c r="AE2" s="151"/>
      <c r="AF2" s="151"/>
      <c r="AG2" s="152"/>
      <c r="AH2" s="151" t="s">
        <v>348</v>
      </c>
      <c r="AI2" s="151"/>
      <c r="AJ2" s="151"/>
      <c r="AK2" s="152"/>
      <c r="AL2" s="153" t="s">
        <v>378</v>
      </c>
      <c r="AM2" s="151" t="s">
        <v>357</v>
      </c>
      <c r="AN2" s="151"/>
      <c r="AO2" s="151"/>
      <c r="AP2" s="152"/>
      <c r="AQ2" s="154" t="s">
        <v>1019</v>
      </c>
    </row>
    <row r="3" spans="2:43" ht="12" customHeight="1" x14ac:dyDescent="0.3">
      <c r="B3" s="140" t="s">
        <v>57</v>
      </c>
      <c r="C3" s="141" t="s">
        <v>58</v>
      </c>
      <c r="D3" s="141" t="s">
        <v>59</v>
      </c>
      <c r="E3" s="141" t="s">
        <v>60</v>
      </c>
      <c r="F3" s="141" t="s">
        <v>61</v>
      </c>
      <c r="G3" s="141" t="s">
        <v>63</v>
      </c>
      <c r="H3" s="141" t="s">
        <v>64</v>
      </c>
      <c r="I3" s="141" t="s">
        <v>625</v>
      </c>
      <c r="J3" s="141" t="s">
        <v>984</v>
      </c>
      <c r="K3" s="141" t="s">
        <v>985</v>
      </c>
      <c r="L3" s="141" t="s">
        <v>986</v>
      </c>
      <c r="M3" s="141" t="s">
        <v>987</v>
      </c>
      <c r="N3" s="141" t="s">
        <v>988</v>
      </c>
      <c r="O3" s="141" t="s">
        <v>989</v>
      </c>
      <c r="P3" s="141" t="s">
        <v>990</v>
      </c>
      <c r="Q3" s="141" t="s">
        <v>991</v>
      </c>
      <c r="R3" s="141" t="s">
        <v>992</v>
      </c>
      <c r="S3" s="141" t="s">
        <v>993</v>
      </c>
      <c r="T3" s="141" t="s">
        <v>994</v>
      </c>
      <c r="U3" s="141" t="s">
        <v>995</v>
      </c>
      <c r="V3" s="141" t="s">
        <v>996</v>
      </c>
      <c r="W3" s="141" t="s">
        <v>997</v>
      </c>
      <c r="X3" s="141" t="s">
        <v>998</v>
      </c>
      <c r="Y3" s="141" t="s">
        <v>999</v>
      </c>
      <c r="Z3" s="141" t="s">
        <v>1000</v>
      </c>
      <c r="AA3" s="141" t="s">
        <v>1001</v>
      </c>
      <c r="AB3" s="141" t="s">
        <v>1002</v>
      </c>
      <c r="AC3" s="141" t="s">
        <v>1003</v>
      </c>
      <c r="AD3" s="141" t="s">
        <v>1004</v>
      </c>
      <c r="AE3" s="141" t="s">
        <v>1005</v>
      </c>
      <c r="AF3" s="141" t="s">
        <v>1006</v>
      </c>
      <c r="AG3" s="141" t="s">
        <v>1007</v>
      </c>
      <c r="AH3" s="141" t="s">
        <v>1008</v>
      </c>
      <c r="AI3" s="141" t="s">
        <v>1009</v>
      </c>
      <c r="AJ3" s="141" t="s">
        <v>1010</v>
      </c>
      <c r="AK3" s="141" t="s">
        <v>1011</v>
      </c>
      <c r="AL3" s="141" t="s">
        <v>1012</v>
      </c>
      <c r="AM3" s="141" t="s">
        <v>1013</v>
      </c>
      <c r="AN3" s="141" t="s">
        <v>1014</v>
      </c>
      <c r="AO3" s="141" t="s">
        <v>1015</v>
      </c>
      <c r="AP3" s="141" t="s">
        <v>1016</v>
      </c>
      <c r="AQ3" s="142" t="s">
        <v>1017</v>
      </c>
    </row>
    <row r="4" spans="2:43" ht="12" customHeight="1" x14ac:dyDescent="0.3">
      <c r="B4" s="143" t="s">
        <v>36</v>
      </c>
      <c r="C4" s="144" t="s">
        <v>70</v>
      </c>
      <c r="D4" s="144" t="s">
        <v>25</v>
      </c>
      <c r="E4" s="144" t="s">
        <v>25</v>
      </c>
      <c r="F4" s="144" t="s">
        <v>75</v>
      </c>
      <c r="G4" s="144" t="s">
        <v>38</v>
      </c>
      <c r="H4" s="144" t="s">
        <v>67</v>
      </c>
      <c r="I4" s="144" t="s">
        <v>25</v>
      </c>
      <c r="J4" s="144">
        <v>14.6</v>
      </c>
      <c r="K4" s="144">
        <v>0</v>
      </c>
      <c r="L4" s="144">
        <v>0</v>
      </c>
      <c r="M4" s="144">
        <v>1.7776184946812501</v>
      </c>
      <c r="N4" s="144">
        <v>0</v>
      </c>
      <c r="O4" s="144">
        <v>0</v>
      </c>
      <c r="P4" s="144">
        <v>0</v>
      </c>
      <c r="Q4" s="144">
        <v>0</v>
      </c>
      <c r="R4" s="144">
        <v>0</v>
      </c>
      <c r="S4" s="144">
        <v>0</v>
      </c>
      <c r="T4" s="144">
        <v>0</v>
      </c>
      <c r="U4" s="144">
        <v>0</v>
      </c>
      <c r="V4" s="144">
        <v>0</v>
      </c>
      <c r="W4" s="144">
        <v>0</v>
      </c>
      <c r="X4" s="144">
        <v>0</v>
      </c>
      <c r="Y4" s="144">
        <v>0</v>
      </c>
      <c r="Z4" s="144">
        <v>0</v>
      </c>
      <c r="AA4" s="144">
        <v>0</v>
      </c>
      <c r="AB4" s="144">
        <v>0</v>
      </c>
      <c r="AC4" s="144">
        <v>0</v>
      </c>
      <c r="AD4" s="144">
        <v>10.4450919301811</v>
      </c>
      <c r="AE4" s="144">
        <v>0</v>
      </c>
      <c r="AF4" s="144">
        <v>2.37607871374049</v>
      </c>
      <c r="AG4" s="144">
        <v>0</v>
      </c>
      <c r="AH4" s="144">
        <v>0</v>
      </c>
      <c r="AI4" s="144">
        <v>0</v>
      </c>
      <c r="AJ4" s="144">
        <v>0</v>
      </c>
      <c r="AK4" s="144">
        <v>0</v>
      </c>
      <c r="AL4" s="144">
        <v>0</v>
      </c>
      <c r="AM4" s="144">
        <v>0</v>
      </c>
      <c r="AN4" s="144">
        <v>0</v>
      </c>
      <c r="AO4" s="144">
        <v>0</v>
      </c>
      <c r="AP4" s="144">
        <v>0</v>
      </c>
      <c r="AQ4" s="145">
        <v>0</v>
      </c>
    </row>
    <row r="5" spans="2:43" ht="12" customHeight="1" x14ac:dyDescent="0.3">
      <c r="B5" s="143" t="s">
        <v>36</v>
      </c>
      <c r="C5" s="144" t="s">
        <v>70</v>
      </c>
      <c r="D5" s="144" t="s">
        <v>25</v>
      </c>
      <c r="E5" s="144" t="s">
        <v>25</v>
      </c>
      <c r="F5" s="144" t="s">
        <v>75</v>
      </c>
      <c r="G5" s="144" t="s">
        <v>38</v>
      </c>
      <c r="H5" s="144" t="s">
        <v>71</v>
      </c>
      <c r="I5" s="144" t="s">
        <v>25</v>
      </c>
      <c r="J5" s="144">
        <v>196.14</v>
      </c>
      <c r="K5" s="144">
        <v>0</v>
      </c>
      <c r="L5" s="144">
        <v>0</v>
      </c>
      <c r="M5" s="144">
        <v>0</v>
      </c>
      <c r="N5" s="144">
        <v>0</v>
      </c>
      <c r="O5" s="144">
        <v>0</v>
      </c>
      <c r="P5" s="144">
        <v>0</v>
      </c>
      <c r="Q5" s="144">
        <v>0</v>
      </c>
      <c r="R5" s="144">
        <v>0</v>
      </c>
      <c r="S5" s="144">
        <v>0</v>
      </c>
      <c r="T5" s="144">
        <v>0</v>
      </c>
      <c r="U5" s="144">
        <v>0</v>
      </c>
      <c r="V5" s="144">
        <v>0</v>
      </c>
      <c r="W5" s="144">
        <v>0</v>
      </c>
      <c r="X5" s="144">
        <v>88.437389788594302</v>
      </c>
      <c r="Y5" s="144">
        <v>0</v>
      </c>
      <c r="Z5" s="144">
        <v>0</v>
      </c>
      <c r="AA5" s="144">
        <v>107.701252196802</v>
      </c>
      <c r="AB5" s="144">
        <v>0</v>
      </c>
      <c r="AC5" s="144">
        <v>0</v>
      </c>
      <c r="AD5" s="144">
        <v>0</v>
      </c>
      <c r="AE5" s="144">
        <v>0</v>
      </c>
      <c r="AF5" s="144">
        <v>0</v>
      </c>
      <c r="AG5" s="144">
        <v>0</v>
      </c>
      <c r="AH5" s="144">
        <v>0</v>
      </c>
      <c r="AI5" s="144">
        <v>0</v>
      </c>
      <c r="AJ5" s="144">
        <v>0</v>
      </c>
      <c r="AK5" s="144">
        <v>0</v>
      </c>
      <c r="AL5" s="144">
        <v>0</v>
      </c>
      <c r="AM5" s="144">
        <v>0</v>
      </c>
      <c r="AN5" s="144">
        <v>0</v>
      </c>
      <c r="AO5" s="144">
        <v>0</v>
      </c>
      <c r="AP5" s="144">
        <v>0</v>
      </c>
      <c r="AQ5" s="145">
        <v>0</v>
      </c>
    </row>
    <row r="6" spans="2:43" ht="12" customHeight="1" x14ac:dyDescent="0.3">
      <c r="B6" s="143" t="s">
        <v>36</v>
      </c>
      <c r="C6" s="144" t="s">
        <v>70</v>
      </c>
      <c r="D6" s="144" t="s">
        <v>25</v>
      </c>
      <c r="E6" s="144" t="s">
        <v>25</v>
      </c>
      <c r="F6" s="144" t="s">
        <v>75</v>
      </c>
      <c r="G6" s="144" t="s">
        <v>39</v>
      </c>
      <c r="H6" s="144" t="s">
        <v>67</v>
      </c>
      <c r="I6" s="144" t="s">
        <v>25</v>
      </c>
      <c r="J6" s="144">
        <v>14.6</v>
      </c>
      <c r="K6" s="144">
        <v>0</v>
      </c>
      <c r="L6" s="144">
        <v>0</v>
      </c>
      <c r="M6" s="144">
        <v>1.7776184946812501</v>
      </c>
      <c r="N6" s="144">
        <v>0</v>
      </c>
      <c r="O6" s="144">
        <v>0</v>
      </c>
      <c r="P6" s="144">
        <v>0</v>
      </c>
      <c r="Q6" s="144">
        <v>0</v>
      </c>
      <c r="R6" s="144">
        <v>0</v>
      </c>
      <c r="S6" s="144">
        <v>0</v>
      </c>
      <c r="T6" s="144">
        <v>0</v>
      </c>
      <c r="U6" s="144">
        <v>0</v>
      </c>
      <c r="V6" s="144">
        <v>0</v>
      </c>
      <c r="W6" s="144">
        <v>0</v>
      </c>
      <c r="X6" s="144">
        <v>0</v>
      </c>
      <c r="Y6" s="144">
        <v>0</v>
      </c>
      <c r="Z6" s="144">
        <v>0</v>
      </c>
      <c r="AA6" s="144">
        <v>0</v>
      </c>
      <c r="AB6" s="144">
        <v>0</v>
      </c>
      <c r="AC6" s="144">
        <v>0</v>
      </c>
      <c r="AD6" s="144">
        <v>10.4450919301811</v>
      </c>
      <c r="AE6" s="144">
        <v>0</v>
      </c>
      <c r="AF6" s="144">
        <v>2.37607871374049</v>
      </c>
      <c r="AG6" s="144">
        <v>0</v>
      </c>
      <c r="AH6" s="144">
        <v>0</v>
      </c>
      <c r="AI6" s="144">
        <v>0</v>
      </c>
      <c r="AJ6" s="144">
        <v>0</v>
      </c>
      <c r="AK6" s="144">
        <v>0</v>
      </c>
      <c r="AL6" s="144">
        <v>0</v>
      </c>
      <c r="AM6" s="144">
        <v>0</v>
      </c>
      <c r="AN6" s="144">
        <v>0</v>
      </c>
      <c r="AO6" s="144">
        <v>0</v>
      </c>
      <c r="AP6" s="144">
        <v>0</v>
      </c>
      <c r="AQ6" s="145">
        <v>0</v>
      </c>
    </row>
    <row r="7" spans="2:43" ht="12" customHeight="1" x14ac:dyDescent="0.3">
      <c r="B7" s="143" t="s">
        <v>36</v>
      </c>
      <c r="C7" s="144" t="s">
        <v>70</v>
      </c>
      <c r="D7" s="144" t="s">
        <v>25</v>
      </c>
      <c r="E7" s="144" t="s">
        <v>25</v>
      </c>
      <c r="F7" s="144" t="s">
        <v>75</v>
      </c>
      <c r="G7" s="144" t="s">
        <v>39</v>
      </c>
      <c r="H7" s="144" t="s">
        <v>71</v>
      </c>
      <c r="I7" s="144" t="s">
        <v>25</v>
      </c>
      <c r="J7" s="144">
        <v>68.86</v>
      </c>
      <c r="K7" s="144">
        <v>0</v>
      </c>
      <c r="L7" s="144">
        <v>0</v>
      </c>
      <c r="M7" s="144">
        <v>0</v>
      </c>
      <c r="N7" s="144">
        <v>0</v>
      </c>
      <c r="O7" s="144">
        <v>0</v>
      </c>
      <c r="P7" s="144">
        <v>0</v>
      </c>
      <c r="Q7" s="144">
        <v>0</v>
      </c>
      <c r="R7" s="144">
        <v>0</v>
      </c>
      <c r="S7" s="144">
        <v>0</v>
      </c>
      <c r="T7" s="144">
        <v>0</v>
      </c>
      <c r="U7" s="144">
        <v>0</v>
      </c>
      <c r="V7" s="144">
        <v>0</v>
      </c>
      <c r="W7" s="144">
        <v>0</v>
      </c>
      <c r="X7" s="144">
        <v>29.2735591035702</v>
      </c>
      <c r="Y7" s="144">
        <v>0</v>
      </c>
      <c r="Z7" s="144">
        <v>0</v>
      </c>
      <c r="AA7" s="144">
        <v>39.582745071444698</v>
      </c>
      <c r="AB7" s="144">
        <v>0</v>
      </c>
      <c r="AC7" s="144">
        <v>0</v>
      </c>
      <c r="AD7" s="144">
        <v>0</v>
      </c>
      <c r="AE7" s="144">
        <v>0</v>
      </c>
      <c r="AF7" s="144">
        <v>0</v>
      </c>
      <c r="AG7" s="144">
        <v>0</v>
      </c>
      <c r="AH7" s="144">
        <v>0</v>
      </c>
      <c r="AI7" s="144">
        <v>0</v>
      </c>
      <c r="AJ7" s="144">
        <v>0</v>
      </c>
      <c r="AK7" s="144">
        <v>0</v>
      </c>
      <c r="AL7" s="144">
        <v>0</v>
      </c>
      <c r="AM7" s="144">
        <v>0</v>
      </c>
      <c r="AN7" s="144">
        <v>0</v>
      </c>
      <c r="AO7" s="144">
        <v>0</v>
      </c>
      <c r="AP7" s="144">
        <v>0</v>
      </c>
      <c r="AQ7" s="145">
        <v>0</v>
      </c>
    </row>
    <row r="8" spans="2:43" ht="12" customHeight="1" x14ac:dyDescent="0.3">
      <c r="B8" s="143" t="s">
        <v>36</v>
      </c>
      <c r="C8" s="144" t="s">
        <v>70</v>
      </c>
      <c r="D8" s="144" t="s">
        <v>25</v>
      </c>
      <c r="E8" s="144" t="s">
        <v>25</v>
      </c>
      <c r="F8" s="144" t="s">
        <v>25</v>
      </c>
      <c r="G8" s="144" t="s">
        <v>38</v>
      </c>
      <c r="H8" s="144" t="s">
        <v>67</v>
      </c>
      <c r="I8" s="144" t="s">
        <v>25</v>
      </c>
      <c r="J8" s="144">
        <v>135.58000000000001</v>
      </c>
      <c r="K8" s="144">
        <v>225.79</v>
      </c>
      <c r="L8" s="144">
        <v>40.907081923258097</v>
      </c>
      <c r="M8" s="144">
        <v>1.7776184946812501</v>
      </c>
      <c r="N8" s="144">
        <v>0</v>
      </c>
      <c r="O8" s="144">
        <v>0</v>
      </c>
      <c r="P8" s="144">
        <v>0</v>
      </c>
      <c r="Q8" s="144">
        <v>66.367048374843094</v>
      </c>
      <c r="R8" s="144">
        <v>13.7102503807668</v>
      </c>
      <c r="S8" s="144">
        <v>0</v>
      </c>
      <c r="T8" s="144">
        <v>0</v>
      </c>
      <c r="U8" s="144">
        <v>0</v>
      </c>
      <c r="V8" s="144">
        <v>0</v>
      </c>
      <c r="W8" s="144">
        <v>0</v>
      </c>
      <c r="X8" s="144">
        <v>0</v>
      </c>
      <c r="Y8" s="144">
        <v>0</v>
      </c>
      <c r="Z8" s="144">
        <v>0</v>
      </c>
      <c r="AA8" s="144">
        <v>0</v>
      </c>
      <c r="AB8" s="144">
        <v>0</v>
      </c>
      <c r="AC8" s="144">
        <v>0</v>
      </c>
      <c r="AD8" s="144">
        <v>10.4450919301811</v>
      </c>
      <c r="AE8" s="144">
        <v>0</v>
      </c>
      <c r="AF8" s="144">
        <v>2.37607871374049</v>
      </c>
      <c r="AG8" s="144">
        <v>0</v>
      </c>
      <c r="AH8" s="144">
        <v>0</v>
      </c>
      <c r="AI8" s="144">
        <v>0</v>
      </c>
      <c r="AJ8" s="144">
        <v>0</v>
      </c>
      <c r="AK8" s="144">
        <v>0</v>
      </c>
      <c r="AL8" s="144">
        <v>225.79478983981801</v>
      </c>
      <c r="AM8" s="144">
        <v>0</v>
      </c>
      <c r="AN8" s="144">
        <v>0</v>
      </c>
      <c r="AO8" s="144">
        <v>0</v>
      </c>
      <c r="AP8" s="144">
        <v>0</v>
      </c>
      <c r="AQ8" s="145">
        <v>0</v>
      </c>
    </row>
    <row r="9" spans="2:43" ht="12" customHeight="1" x14ac:dyDescent="0.3">
      <c r="B9" s="143" t="s">
        <v>36</v>
      </c>
      <c r="C9" s="144" t="s">
        <v>70</v>
      </c>
      <c r="D9" s="144" t="s">
        <v>25</v>
      </c>
      <c r="E9" s="144" t="s">
        <v>25</v>
      </c>
      <c r="F9" s="144" t="s">
        <v>25</v>
      </c>
      <c r="G9" s="144" t="s">
        <v>38</v>
      </c>
      <c r="H9" s="144" t="s">
        <v>71</v>
      </c>
      <c r="I9" s="144" t="s">
        <v>25</v>
      </c>
      <c r="J9" s="144">
        <v>196.14</v>
      </c>
      <c r="K9" s="144">
        <v>0</v>
      </c>
      <c r="L9" s="144">
        <v>0</v>
      </c>
      <c r="M9" s="144">
        <v>0</v>
      </c>
      <c r="N9" s="144">
        <v>0</v>
      </c>
      <c r="O9" s="144">
        <v>0</v>
      </c>
      <c r="P9" s="144">
        <v>0</v>
      </c>
      <c r="Q9" s="144">
        <v>0</v>
      </c>
      <c r="R9" s="144">
        <v>0</v>
      </c>
      <c r="S9" s="144">
        <v>0</v>
      </c>
      <c r="T9" s="144">
        <v>0</v>
      </c>
      <c r="U9" s="144">
        <v>0</v>
      </c>
      <c r="V9" s="144">
        <v>0</v>
      </c>
      <c r="W9" s="144">
        <v>0</v>
      </c>
      <c r="X9" s="144">
        <v>88.437389788594302</v>
      </c>
      <c r="Y9" s="144">
        <v>0</v>
      </c>
      <c r="Z9" s="144">
        <v>0</v>
      </c>
      <c r="AA9" s="144">
        <v>107.701252196802</v>
      </c>
      <c r="AB9" s="144">
        <v>0</v>
      </c>
      <c r="AC9" s="144">
        <v>0</v>
      </c>
      <c r="AD9" s="144">
        <v>0</v>
      </c>
      <c r="AE9" s="144">
        <v>0</v>
      </c>
      <c r="AF9" s="144">
        <v>0</v>
      </c>
      <c r="AG9" s="144">
        <v>0</v>
      </c>
      <c r="AH9" s="144">
        <v>0</v>
      </c>
      <c r="AI9" s="144">
        <v>0</v>
      </c>
      <c r="AJ9" s="144">
        <v>0</v>
      </c>
      <c r="AK9" s="144">
        <v>0</v>
      </c>
      <c r="AL9" s="144">
        <v>0</v>
      </c>
      <c r="AM9" s="144">
        <v>0</v>
      </c>
      <c r="AN9" s="144">
        <v>0</v>
      </c>
      <c r="AO9" s="144">
        <v>0</v>
      </c>
      <c r="AP9" s="144">
        <v>0</v>
      </c>
      <c r="AQ9" s="145">
        <v>0</v>
      </c>
    </row>
    <row r="10" spans="2:43" ht="12" customHeight="1" x14ac:dyDescent="0.3">
      <c r="B10" s="143" t="s">
        <v>36</v>
      </c>
      <c r="C10" s="144" t="s">
        <v>70</v>
      </c>
      <c r="D10" s="144" t="s">
        <v>25</v>
      </c>
      <c r="E10" s="144" t="s">
        <v>25</v>
      </c>
      <c r="F10" s="144" t="s">
        <v>25</v>
      </c>
      <c r="G10" s="144" t="s">
        <v>39</v>
      </c>
      <c r="H10" s="144" t="s">
        <v>67</v>
      </c>
      <c r="I10" s="144" t="s">
        <v>25</v>
      </c>
      <c r="J10" s="144">
        <v>135.58000000000001</v>
      </c>
      <c r="K10" s="144">
        <v>225.79</v>
      </c>
      <c r="L10" s="144">
        <v>40.907081923258097</v>
      </c>
      <c r="M10" s="144">
        <v>1.7776184946812501</v>
      </c>
      <c r="N10" s="144">
        <v>0</v>
      </c>
      <c r="O10" s="144">
        <v>0</v>
      </c>
      <c r="P10" s="144">
        <v>0</v>
      </c>
      <c r="Q10" s="144">
        <v>66.367048374843094</v>
      </c>
      <c r="R10" s="144">
        <v>13.7102503807668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  <c r="AB10" s="144">
        <v>0</v>
      </c>
      <c r="AC10" s="144">
        <v>0</v>
      </c>
      <c r="AD10" s="144">
        <v>10.4450919301811</v>
      </c>
      <c r="AE10" s="144">
        <v>0</v>
      </c>
      <c r="AF10" s="144">
        <v>2.37607871374049</v>
      </c>
      <c r="AG10" s="144">
        <v>0</v>
      </c>
      <c r="AH10" s="144">
        <v>0</v>
      </c>
      <c r="AI10" s="144">
        <v>0</v>
      </c>
      <c r="AJ10" s="144">
        <v>0</v>
      </c>
      <c r="AK10" s="144">
        <v>0</v>
      </c>
      <c r="AL10" s="144">
        <v>225.79478983981801</v>
      </c>
      <c r="AM10" s="144">
        <v>0</v>
      </c>
      <c r="AN10" s="144">
        <v>0</v>
      </c>
      <c r="AO10" s="144">
        <v>0</v>
      </c>
      <c r="AP10" s="144">
        <v>0</v>
      </c>
      <c r="AQ10" s="145">
        <v>0</v>
      </c>
    </row>
    <row r="11" spans="2:43" ht="12" customHeight="1" x14ac:dyDescent="0.3">
      <c r="B11" s="143" t="s">
        <v>36</v>
      </c>
      <c r="C11" s="144" t="s">
        <v>70</v>
      </c>
      <c r="D11" s="144" t="s">
        <v>25</v>
      </c>
      <c r="E11" s="144" t="s">
        <v>25</v>
      </c>
      <c r="F11" s="144" t="s">
        <v>25</v>
      </c>
      <c r="G11" s="144" t="s">
        <v>39</v>
      </c>
      <c r="H11" s="144" t="s">
        <v>71</v>
      </c>
      <c r="I11" s="144" t="s">
        <v>25</v>
      </c>
      <c r="J11" s="144">
        <v>68.86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29.2735591035702</v>
      </c>
      <c r="Y11" s="144">
        <v>0</v>
      </c>
      <c r="Z11" s="144">
        <v>0</v>
      </c>
      <c r="AA11" s="144">
        <v>39.582745071444698</v>
      </c>
      <c r="AB11" s="144">
        <v>0</v>
      </c>
      <c r="AC11" s="144">
        <v>0</v>
      </c>
      <c r="AD11" s="144">
        <v>0</v>
      </c>
      <c r="AE11" s="144">
        <v>0</v>
      </c>
      <c r="AF11" s="144">
        <v>0</v>
      </c>
      <c r="AG11" s="144">
        <v>0</v>
      </c>
      <c r="AH11" s="144">
        <v>0</v>
      </c>
      <c r="AI11" s="144">
        <v>0</v>
      </c>
      <c r="AJ11" s="144">
        <v>0</v>
      </c>
      <c r="AK11" s="144">
        <v>0</v>
      </c>
      <c r="AL11" s="144">
        <v>0</v>
      </c>
      <c r="AM11" s="144">
        <v>0</v>
      </c>
      <c r="AN11" s="144">
        <v>0</v>
      </c>
      <c r="AO11" s="144">
        <v>0</v>
      </c>
      <c r="AP11" s="144">
        <v>0</v>
      </c>
      <c r="AQ11" s="145">
        <v>0</v>
      </c>
    </row>
    <row r="12" spans="2:43" ht="12" customHeight="1" x14ac:dyDescent="0.3">
      <c r="B12" s="143" t="s">
        <v>36</v>
      </c>
      <c r="C12" s="144" t="s">
        <v>76</v>
      </c>
      <c r="D12" s="144" t="s">
        <v>25</v>
      </c>
      <c r="E12" s="144" t="s">
        <v>25</v>
      </c>
      <c r="F12" s="144" t="s">
        <v>25</v>
      </c>
      <c r="G12" s="144" t="s">
        <v>25</v>
      </c>
      <c r="H12" s="144" t="s">
        <v>71</v>
      </c>
      <c r="I12" s="144" t="s">
        <v>25</v>
      </c>
      <c r="J12" s="144">
        <v>12.45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12.4450436272095</v>
      </c>
      <c r="AB12" s="144">
        <v>0</v>
      </c>
      <c r="AC12" s="144">
        <v>0</v>
      </c>
      <c r="AD12" s="144">
        <v>0</v>
      </c>
      <c r="AE12" s="144">
        <v>0</v>
      </c>
      <c r="AF12" s="144">
        <v>0</v>
      </c>
      <c r="AG12" s="144">
        <v>0</v>
      </c>
      <c r="AH12" s="144">
        <v>0</v>
      </c>
      <c r="AI12" s="144">
        <v>0</v>
      </c>
      <c r="AJ12" s="144">
        <v>0</v>
      </c>
      <c r="AK12" s="144">
        <v>0</v>
      </c>
      <c r="AL12" s="144">
        <v>0</v>
      </c>
      <c r="AM12" s="144">
        <v>0</v>
      </c>
      <c r="AN12" s="144">
        <v>0</v>
      </c>
      <c r="AO12" s="144">
        <v>0</v>
      </c>
      <c r="AP12" s="144">
        <v>0</v>
      </c>
      <c r="AQ12" s="145">
        <v>0</v>
      </c>
    </row>
    <row r="13" spans="2:43" ht="12" customHeight="1" x14ac:dyDescent="0.3">
      <c r="B13" s="143" t="s">
        <v>36</v>
      </c>
      <c r="C13" s="144" t="s">
        <v>37</v>
      </c>
      <c r="D13" s="144" t="s">
        <v>25</v>
      </c>
      <c r="E13" s="144" t="s">
        <v>25</v>
      </c>
      <c r="F13" s="144" t="s">
        <v>75</v>
      </c>
      <c r="G13" s="144" t="s">
        <v>38</v>
      </c>
      <c r="H13" s="144" t="s">
        <v>67</v>
      </c>
      <c r="I13" s="144" t="s">
        <v>25</v>
      </c>
      <c r="J13" s="144">
        <v>4731.6899999999996</v>
      </c>
      <c r="K13" s="144">
        <v>0</v>
      </c>
      <c r="L13" s="144">
        <v>0</v>
      </c>
      <c r="M13" s="144">
        <v>1.7776184946812501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0</v>
      </c>
      <c r="U13" s="144">
        <v>0</v>
      </c>
      <c r="V13" s="144">
        <v>0</v>
      </c>
      <c r="W13" s="144">
        <v>0</v>
      </c>
      <c r="X13" s="144">
        <v>2126.8775480834202</v>
      </c>
      <c r="Y13" s="144">
        <v>0</v>
      </c>
      <c r="Z13" s="144">
        <v>0</v>
      </c>
      <c r="AA13" s="144">
        <v>2590.21791788464</v>
      </c>
      <c r="AB13" s="144">
        <v>0</v>
      </c>
      <c r="AC13" s="144">
        <v>0</v>
      </c>
      <c r="AD13" s="144">
        <v>10.4450919301811</v>
      </c>
      <c r="AE13" s="144">
        <v>0</v>
      </c>
      <c r="AF13" s="144">
        <v>2.37607871374049</v>
      </c>
      <c r="AG13" s="144">
        <v>0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5">
        <v>0</v>
      </c>
    </row>
    <row r="14" spans="2:43" ht="12" customHeight="1" x14ac:dyDescent="0.3">
      <c r="B14" s="143" t="s">
        <v>36</v>
      </c>
      <c r="C14" s="144" t="s">
        <v>37</v>
      </c>
      <c r="D14" s="144" t="s">
        <v>25</v>
      </c>
      <c r="E14" s="144" t="s">
        <v>25</v>
      </c>
      <c r="F14" s="144" t="s">
        <v>75</v>
      </c>
      <c r="G14" s="144" t="s">
        <v>25</v>
      </c>
      <c r="H14" s="144" t="s">
        <v>71</v>
      </c>
      <c r="I14" s="144" t="s">
        <v>25</v>
      </c>
      <c r="J14" s="144">
        <v>68.86</v>
      </c>
      <c r="K14" s="144">
        <v>0</v>
      </c>
      <c r="L14" s="144">
        <v>0</v>
      </c>
      <c r="M14" s="144">
        <v>0</v>
      </c>
      <c r="N14" s="144">
        <v>0</v>
      </c>
      <c r="O14" s="144">
        <v>0</v>
      </c>
      <c r="P14" s="144">
        <v>0</v>
      </c>
      <c r="Q14" s="144">
        <v>0</v>
      </c>
      <c r="R14" s="144">
        <v>0</v>
      </c>
      <c r="S14" s="144">
        <v>0</v>
      </c>
      <c r="T14" s="144">
        <v>0</v>
      </c>
      <c r="U14" s="144">
        <v>0</v>
      </c>
      <c r="V14" s="144">
        <v>0</v>
      </c>
      <c r="W14" s="144">
        <v>0</v>
      </c>
      <c r="X14" s="144">
        <v>29.2735591035702</v>
      </c>
      <c r="Y14" s="144">
        <v>0</v>
      </c>
      <c r="Z14" s="144">
        <v>0</v>
      </c>
      <c r="AA14" s="144">
        <v>39.582745071444698</v>
      </c>
      <c r="AB14" s="144">
        <v>0</v>
      </c>
      <c r="AC14" s="144">
        <v>0</v>
      </c>
      <c r="AD14" s="144">
        <v>0</v>
      </c>
      <c r="AE14" s="144">
        <v>0</v>
      </c>
      <c r="AF14" s="144">
        <v>0</v>
      </c>
      <c r="AG14" s="144">
        <v>0</v>
      </c>
      <c r="AH14" s="144">
        <v>0</v>
      </c>
      <c r="AI14" s="144">
        <v>0</v>
      </c>
      <c r="AJ14" s="144">
        <v>0</v>
      </c>
      <c r="AK14" s="144">
        <v>0</v>
      </c>
      <c r="AL14" s="144">
        <v>0</v>
      </c>
      <c r="AM14" s="144">
        <v>0</v>
      </c>
      <c r="AN14" s="144">
        <v>0</v>
      </c>
      <c r="AO14" s="144">
        <v>0</v>
      </c>
      <c r="AP14" s="144">
        <v>0</v>
      </c>
      <c r="AQ14" s="145">
        <v>0</v>
      </c>
    </row>
    <row r="15" spans="2:43" ht="12" customHeight="1" x14ac:dyDescent="0.3">
      <c r="B15" s="143" t="s">
        <v>36</v>
      </c>
      <c r="C15" s="144" t="s">
        <v>37</v>
      </c>
      <c r="D15" s="144" t="s">
        <v>25</v>
      </c>
      <c r="E15" s="144" t="s">
        <v>25</v>
      </c>
      <c r="F15" s="144" t="s">
        <v>75</v>
      </c>
      <c r="G15" s="144" t="s">
        <v>39</v>
      </c>
      <c r="H15" s="144" t="s">
        <v>67</v>
      </c>
      <c r="I15" s="144" t="s">
        <v>25</v>
      </c>
      <c r="J15" s="144">
        <v>14.6</v>
      </c>
      <c r="K15" s="144">
        <v>0</v>
      </c>
      <c r="L15" s="144">
        <v>0</v>
      </c>
      <c r="M15" s="144">
        <v>1.7776184946812501</v>
      </c>
      <c r="N15" s="144">
        <v>0</v>
      </c>
      <c r="O15" s="144">
        <v>0</v>
      </c>
      <c r="P15" s="144">
        <v>0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4">
        <v>0</v>
      </c>
      <c r="W15" s="144">
        <v>0</v>
      </c>
      <c r="X15" s="144">
        <v>0</v>
      </c>
      <c r="Y15" s="144">
        <v>0</v>
      </c>
      <c r="Z15" s="144">
        <v>0</v>
      </c>
      <c r="AA15" s="144">
        <v>0</v>
      </c>
      <c r="AB15" s="144">
        <v>0</v>
      </c>
      <c r="AC15" s="144">
        <v>0</v>
      </c>
      <c r="AD15" s="144">
        <v>10.4450919301811</v>
      </c>
      <c r="AE15" s="144">
        <v>0</v>
      </c>
      <c r="AF15" s="144">
        <v>2.37607871374049</v>
      </c>
      <c r="AG15" s="144">
        <v>0</v>
      </c>
      <c r="AH15" s="144">
        <v>0</v>
      </c>
      <c r="AI15" s="144">
        <v>0</v>
      </c>
      <c r="AJ15" s="144">
        <v>0</v>
      </c>
      <c r="AK15" s="144">
        <v>0</v>
      </c>
      <c r="AL15" s="144">
        <v>0</v>
      </c>
      <c r="AM15" s="144">
        <v>0</v>
      </c>
      <c r="AN15" s="144">
        <v>0</v>
      </c>
      <c r="AO15" s="144">
        <v>0</v>
      </c>
      <c r="AP15" s="144">
        <v>0</v>
      </c>
      <c r="AQ15" s="145">
        <v>0</v>
      </c>
    </row>
    <row r="16" spans="2:43" ht="12" customHeight="1" x14ac:dyDescent="0.3">
      <c r="B16" s="143" t="s">
        <v>36</v>
      </c>
      <c r="C16" s="144" t="s">
        <v>37</v>
      </c>
      <c r="D16" s="144" t="s">
        <v>25</v>
      </c>
      <c r="E16" s="144" t="s">
        <v>25</v>
      </c>
      <c r="F16" s="144" t="s">
        <v>25</v>
      </c>
      <c r="G16" s="144" t="s">
        <v>38</v>
      </c>
      <c r="H16" s="144" t="s">
        <v>67</v>
      </c>
      <c r="I16" s="144" t="s">
        <v>25</v>
      </c>
      <c r="J16" s="144">
        <v>4852.68</v>
      </c>
      <c r="K16" s="144">
        <v>225.79</v>
      </c>
      <c r="L16" s="144">
        <v>40.907081923258097</v>
      </c>
      <c r="M16" s="144">
        <v>1.7776184946812501</v>
      </c>
      <c r="N16" s="144">
        <v>0</v>
      </c>
      <c r="O16" s="144">
        <v>0</v>
      </c>
      <c r="P16" s="144">
        <v>0</v>
      </c>
      <c r="Q16" s="144">
        <v>66.367048374843094</v>
      </c>
      <c r="R16" s="144">
        <v>13.7102503807668</v>
      </c>
      <c r="S16" s="144">
        <v>0</v>
      </c>
      <c r="T16" s="144">
        <v>0</v>
      </c>
      <c r="U16" s="144">
        <v>0</v>
      </c>
      <c r="V16" s="144">
        <v>0</v>
      </c>
      <c r="W16" s="144">
        <v>0</v>
      </c>
      <c r="X16" s="144">
        <v>2126.8775480834202</v>
      </c>
      <c r="Y16" s="144">
        <v>0</v>
      </c>
      <c r="Z16" s="144">
        <v>0</v>
      </c>
      <c r="AA16" s="144">
        <v>2590.21791788464</v>
      </c>
      <c r="AB16" s="144">
        <v>0</v>
      </c>
      <c r="AC16" s="144">
        <v>0</v>
      </c>
      <c r="AD16" s="144">
        <v>10.4450919301811</v>
      </c>
      <c r="AE16" s="144">
        <v>0</v>
      </c>
      <c r="AF16" s="144">
        <v>2.37607871374049</v>
      </c>
      <c r="AG16" s="144">
        <v>0</v>
      </c>
      <c r="AH16" s="144">
        <v>0</v>
      </c>
      <c r="AI16" s="144">
        <v>0</v>
      </c>
      <c r="AJ16" s="144">
        <v>0</v>
      </c>
      <c r="AK16" s="144">
        <v>0</v>
      </c>
      <c r="AL16" s="144">
        <v>225.79478983981801</v>
      </c>
      <c r="AM16" s="144">
        <v>0</v>
      </c>
      <c r="AN16" s="144">
        <v>0</v>
      </c>
      <c r="AO16" s="144">
        <v>0</v>
      </c>
      <c r="AP16" s="144">
        <v>0</v>
      </c>
      <c r="AQ16" s="145">
        <v>0</v>
      </c>
    </row>
    <row r="17" spans="2:43" ht="12" customHeight="1" x14ac:dyDescent="0.3">
      <c r="B17" s="143" t="s">
        <v>36</v>
      </c>
      <c r="C17" s="144" t="s">
        <v>37</v>
      </c>
      <c r="D17" s="144" t="s">
        <v>25</v>
      </c>
      <c r="E17" s="144" t="s">
        <v>25</v>
      </c>
      <c r="F17" s="144" t="s">
        <v>25</v>
      </c>
      <c r="G17" s="144" t="s">
        <v>25</v>
      </c>
      <c r="H17" s="144" t="s">
        <v>71</v>
      </c>
      <c r="I17" s="144" t="s">
        <v>25</v>
      </c>
      <c r="J17" s="144">
        <v>68.86</v>
      </c>
      <c r="K17" s="144">
        <v>0</v>
      </c>
      <c r="L17" s="144">
        <v>0</v>
      </c>
      <c r="M17" s="144">
        <v>0</v>
      </c>
      <c r="N17" s="144">
        <v>0</v>
      </c>
      <c r="O17" s="144">
        <v>0</v>
      </c>
      <c r="P17" s="144">
        <v>0</v>
      </c>
      <c r="Q17" s="144">
        <v>0</v>
      </c>
      <c r="R17" s="144">
        <v>0</v>
      </c>
      <c r="S17" s="144">
        <v>0</v>
      </c>
      <c r="T17" s="144">
        <v>0</v>
      </c>
      <c r="U17" s="144">
        <v>0</v>
      </c>
      <c r="V17" s="144">
        <v>0</v>
      </c>
      <c r="W17" s="144">
        <v>0</v>
      </c>
      <c r="X17" s="144">
        <v>29.2735591035702</v>
      </c>
      <c r="Y17" s="144">
        <v>0</v>
      </c>
      <c r="Z17" s="144">
        <v>0</v>
      </c>
      <c r="AA17" s="144">
        <v>39.582745071444698</v>
      </c>
      <c r="AB17" s="144">
        <v>0</v>
      </c>
      <c r="AC17" s="144">
        <v>0</v>
      </c>
      <c r="AD17" s="144">
        <v>0</v>
      </c>
      <c r="AE17" s="144">
        <v>0</v>
      </c>
      <c r="AF17" s="144">
        <v>0</v>
      </c>
      <c r="AG17" s="144">
        <v>0</v>
      </c>
      <c r="AH17" s="144">
        <v>0</v>
      </c>
      <c r="AI17" s="144">
        <v>0</v>
      </c>
      <c r="AJ17" s="144">
        <v>0</v>
      </c>
      <c r="AK17" s="144">
        <v>0</v>
      </c>
      <c r="AL17" s="144">
        <v>0</v>
      </c>
      <c r="AM17" s="144">
        <v>0</v>
      </c>
      <c r="AN17" s="144">
        <v>0</v>
      </c>
      <c r="AO17" s="144">
        <v>0</v>
      </c>
      <c r="AP17" s="144">
        <v>0</v>
      </c>
      <c r="AQ17" s="145">
        <v>0</v>
      </c>
    </row>
    <row r="18" spans="2:43" ht="12" customHeight="1" x14ac:dyDescent="0.3">
      <c r="B18" s="143" t="s">
        <v>36</v>
      </c>
      <c r="C18" s="144" t="s">
        <v>37</v>
      </c>
      <c r="D18" s="144" t="s">
        <v>25</v>
      </c>
      <c r="E18" s="144" t="s">
        <v>25</v>
      </c>
      <c r="F18" s="144" t="s">
        <v>25</v>
      </c>
      <c r="G18" s="144" t="s">
        <v>39</v>
      </c>
      <c r="H18" s="144" t="s">
        <v>67</v>
      </c>
      <c r="I18" s="144" t="s">
        <v>25</v>
      </c>
      <c r="J18" s="144">
        <v>135.58000000000001</v>
      </c>
      <c r="K18" s="144">
        <v>225.79</v>
      </c>
      <c r="L18" s="144">
        <v>40.907081923258097</v>
      </c>
      <c r="M18" s="144">
        <v>1.7776184946812501</v>
      </c>
      <c r="N18" s="144">
        <v>0</v>
      </c>
      <c r="O18" s="144">
        <v>0</v>
      </c>
      <c r="P18" s="144">
        <v>0</v>
      </c>
      <c r="Q18" s="144">
        <v>66.367048374843094</v>
      </c>
      <c r="R18" s="144">
        <v>13.7102503807668</v>
      </c>
      <c r="S18" s="144">
        <v>0</v>
      </c>
      <c r="T18" s="144">
        <v>0</v>
      </c>
      <c r="U18" s="144">
        <v>0</v>
      </c>
      <c r="V18" s="144">
        <v>0</v>
      </c>
      <c r="W18" s="144">
        <v>0</v>
      </c>
      <c r="X18" s="144">
        <v>0</v>
      </c>
      <c r="Y18" s="144">
        <v>0</v>
      </c>
      <c r="Z18" s="144">
        <v>0</v>
      </c>
      <c r="AA18" s="144">
        <v>0</v>
      </c>
      <c r="AB18" s="144">
        <v>0</v>
      </c>
      <c r="AC18" s="144">
        <v>0</v>
      </c>
      <c r="AD18" s="144">
        <v>10.4450919301811</v>
      </c>
      <c r="AE18" s="144">
        <v>0</v>
      </c>
      <c r="AF18" s="144">
        <v>2.37607871374049</v>
      </c>
      <c r="AG18" s="144">
        <v>0</v>
      </c>
      <c r="AH18" s="144">
        <v>0</v>
      </c>
      <c r="AI18" s="144">
        <v>0</v>
      </c>
      <c r="AJ18" s="144">
        <v>0</v>
      </c>
      <c r="AK18" s="144">
        <v>0</v>
      </c>
      <c r="AL18" s="144">
        <v>225.79478983981801</v>
      </c>
      <c r="AM18" s="144">
        <v>0</v>
      </c>
      <c r="AN18" s="144">
        <v>0</v>
      </c>
      <c r="AO18" s="144">
        <v>0</v>
      </c>
      <c r="AP18" s="144">
        <v>0</v>
      </c>
      <c r="AQ18" s="145">
        <v>0</v>
      </c>
    </row>
    <row r="19" spans="2:43" ht="12" customHeight="1" x14ac:dyDescent="0.3">
      <c r="B19" s="143" t="s">
        <v>77</v>
      </c>
      <c r="C19" s="144" t="s">
        <v>76</v>
      </c>
      <c r="D19" s="144" t="s">
        <v>25</v>
      </c>
      <c r="E19" s="144" t="s">
        <v>25</v>
      </c>
      <c r="F19" s="144" t="s">
        <v>78</v>
      </c>
      <c r="G19" s="144" t="s">
        <v>25</v>
      </c>
      <c r="H19" s="144" t="s">
        <v>71</v>
      </c>
      <c r="I19" s="144" t="s">
        <v>25</v>
      </c>
      <c r="J19" s="144">
        <v>3.4699999999999998</v>
      </c>
      <c r="K19" s="144">
        <v>0</v>
      </c>
      <c r="L19" s="144">
        <v>0</v>
      </c>
      <c r="M19" s="144">
        <v>1.0960048805232899E-2</v>
      </c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0</v>
      </c>
      <c r="T19" s="144">
        <v>0</v>
      </c>
      <c r="U19" s="144">
        <v>0</v>
      </c>
      <c r="V19" s="144">
        <v>0</v>
      </c>
      <c r="W19" s="144">
        <v>0</v>
      </c>
      <c r="X19" s="144">
        <v>0</v>
      </c>
      <c r="Y19" s="144">
        <v>0</v>
      </c>
      <c r="Z19" s="144">
        <v>0</v>
      </c>
      <c r="AA19" s="144">
        <v>3.4613387129741602</v>
      </c>
      <c r="AB19" s="144">
        <v>0</v>
      </c>
      <c r="AC19" s="144">
        <v>0</v>
      </c>
      <c r="AD19" s="144">
        <v>0</v>
      </c>
      <c r="AE19" s="144">
        <v>0</v>
      </c>
      <c r="AF19" s="144">
        <v>0</v>
      </c>
      <c r="AG19" s="144">
        <v>0</v>
      </c>
      <c r="AH19" s="144">
        <v>0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5">
        <v>0</v>
      </c>
    </row>
    <row r="20" spans="2:43" ht="12" customHeight="1" x14ac:dyDescent="0.3">
      <c r="B20" s="143" t="s">
        <v>77</v>
      </c>
      <c r="C20" s="144" t="s">
        <v>76</v>
      </c>
      <c r="D20" s="144" t="s">
        <v>25</v>
      </c>
      <c r="E20" s="144" t="s">
        <v>25</v>
      </c>
      <c r="F20" s="144" t="s">
        <v>79</v>
      </c>
      <c r="G20" s="144" t="s">
        <v>25</v>
      </c>
      <c r="H20" s="144" t="s">
        <v>71</v>
      </c>
      <c r="I20" s="144" t="s">
        <v>25</v>
      </c>
      <c r="J20" s="144">
        <v>11.17</v>
      </c>
      <c r="K20" s="144">
        <v>0</v>
      </c>
      <c r="L20" s="144">
        <v>0</v>
      </c>
      <c r="M20" s="144">
        <v>1.0960048805232899E-2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11.155655570864001</v>
      </c>
      <c r="AB20" s="144">
        <v>0</v>
      </c>
      <c r="AC20" s="144">
        <v>0</v>
      </c>
      <c r="AD20" s="144">
        <v>0</v>
      </c>
      <c r="AE20" s="144">
        <v>0</v>
      </c>
      <c r="AF20" s="144">
        <v>0</v>
      </c>
      <c r="AG20" s="144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4">
        <v>0</v>
      </c>
      <c r="AO20" s="144">
        <v>0</v>
      </c>
      <c r="AP20" s="144">
        <v>0</v>
      </c>
      <c r="AQ20" s="145">
        <v>0</v>
      </c>
    </row>
    <row r="21" spans="2:43" ht="12" customHeight="1" x14ac:dyDescent="0.3">
      <c r="B21" s="143" t="s">
        <v>22</v>
      </c>
      <c r="C21" s="144" t="s">
        <v>82</v>
      </c>
      <c r="D21" s="144" t="s">
        <v>24</v>
      </c>
      <c r="E21" s="144" t="s">
        <v>24</v>
      </c>
      <c r="F21" s="144" t="s">
        <v>25</v>
      </c>
      <c r="G21" s="144" t="s">
        <v>38</v>
      </c>
      <c r="H21" s="144" t="s">
        <v>67</v>
      </c>
      <c r="I21" s="144" t="s">
        <v>25</v>
      </c>
      <c r="J21" s="144">
        <v>2712.76</v>
      </c>
      <c r="K21" s="144">
        <v>225.79</v>
      </c>
      <c r="L21" s="144">
        <v>48.698907051497798</v>
      </c>
      <c r="M21" s="144">
        <v>2.3768405154799099</v>
      </c>
      <c r="N21" s="144">
        <v>0</v>
      </c>
      <c r="O21" s="144">
        <v>0</v>
      </c>
      <c r="P21" s="144">
        <v>0</v>
      </c>
      <c r="Q21" s="144">
        <v>79.008390922432298</v>
      </c>
      <c r="R21" s="144">
        <v>13.7102503807668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1119.09323876026</v>
      </c>
      <c r="Y21" s="144">
        <v>0</v>
      </c>
      <c r="Z21" s="144">
        <v>0</v>
      </c>
      <c r="AA21" s="144">
        <v>1424.19678744217</v>
      </c>
      <c r="AB21" s="144">
        <v>0</v>
      </c>
      <c r="AC21" s="144">
        <v>0</v>
      </c>
      <c r="AD21" s="144">
        <v>22.593468937112899</v>
      </c>
      <c r="AE21" s="144">
        <v>0</v>
      </c>
      <c r="AF21" s="144">
        <v>3.0856163480390002</v>
      </c>
      <c r="AG21" s="144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225.79478983981801</v>
      </c>
      <c r="AM21" s="144">
        <v>0</v>
      </c>
      <c r="AN21" s="144">
        <v>0</v>
      </c>
      <c r="AO21" s="144">
        <v>0</v>
      </c>
      <c r="AP21" s="144">
        <v>0</v>
      </c>
      <c r="AQ21" s="145">
        <v>0</v>
      </c>
    </row>
    <row r="22" spans="2:43" ht="12" customHeight="1" x14ac:dyDescent="0.3">
      <c r="B22" s="143" t="s">
        <v>22</v>
      </c>
      <c r="C22" s="144" t="s">
        <v>82</v>
      </c>
      <c r="D22" s="144" t="s">
        <v>24</v>
      </c>
      <c r="E22" s="144" t="s">
        <v>24</v>
      </c>
      <c r="F22" s="144" t="s">
        <v>25</v>
      </c>
      <c r="G22" s="144" t="s">
        <v>493</v>
      </c>
      <c r="H22" s="144" t="s">
        <v>67</v>
      </c>
      <c r="I22" s="144" t="s">
        <v>25</v>
      </c>
      <c r="J22" s="144">
        <v>1695.45</v>
      </c>
      <c r="K22" s="144">
        <v>225.79</v>
      </c>
      <c r="L22" s="144">
        <v>48.698907051497798</v>
      </c>
      <c r="M22" s="144">
        <v>2.3768405154799099</v>
      </c>
      <c r="N22" s="144">
        <v>0</v>
      </c>
      <c r="O22" s="144">
        <v>0</v>
      </c>
      <c r="P22" s="144">
        <v>0</v>
      </c>
      <c r="Q22" s="144">
        <v>79.008390922432298</v>
      </c>
      <c r="R22" s="144">
        <v>13.7102503807668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671.4541807864</v>
      </c>
      <c r="Y22" s="144">
        <v>0</v>
      </c>
      <c r="Z22" s="144">
        <v>0</v>
      </c>
      <c r="AA22" s="144">
        <v>854.51811533415696</v>
      </c>
      <c r="AB22" s="144">
        <v>0</v>
      </c>
      <c r="AC22" s="144">
        <v>0</v>
      </c>
      <c r="AD22" s="144">
        <v>22.593468937112899</v>
      </c>
      <c r="AE22" s="144">
        <v>0</v>
      </c>
      <c r="AF22" s="144">
        <v>3.0856163480390002</v>
      </c>
      <c r="AG22" s="144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225.79478983981801</v>
      </c>
      <c r="AM22" s="144">
        <v>0</v>
      </c>
      <c r="AN22" s="144">
        <v>0</v>
      </c>
      <c r="AO22" s="144">
        <v>0</v>
      </c>
      <c r="AP22" s="144">
        <v>0</v>
      </c>
      <c r="AQ22" s="145">
        <v>0</v>
      </c>
    </row>
    <row r="23" spans="2:43" ht="12" customHeight="1" x14ac:dyDescent="0.3">
      <c r="B23" s="143" t="s">
        <v>22</v>
      </c>
      <c r="C23" s="144" t="s">
        <v>82</v>
      </c>
      <c r="D23" s="144" t="s">
        <v>24</v>
      </c>
      <c r="E23" s="144" t="s">
        <v>24</v>
      </c>
      <c r="F23" s="144" t="s">
        <v>25</v>
      </c>
      <c r="G23" s="144" t="s">
        <v>39</v>
      </c>
      <c r="H23" s="144" t="s">
        <v>67</v>
      </c>
      <c r="I23" s="144" t="s">
        <v>25</v>
      </c>
      <c r="J23" s="144">
        <v>678.13</v>
      </c>
      <c r="K23" s="144">
        <v>225.79</v>
      </c>
      <c r="L23" s="144">
        <v>48.698907051497798</v>
      </c>
      <c r="M23" s="144">
        <v>2.3768405154799099</v>
      </c>
      <c r="N23" s="144">
        <v>0</v>
      </c>
      <c r="O23" s="144">
        <v>0</v>
      </c>
      <c r="P23" s="144">
        <v>0</v>
      </c>
      <c r="Q23" s="144">
        <v>79.008390922432298</v>
      </c>
      <c r="R23" s="144">
        <v>13.7102503807668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223.81983286102701</v>
      </c>
      <c r="Y23" s="144">
        <v>0</v>
      </c>
      <c r="Z23" s="144">
        <v>0</v>
      </c>
      <c r="AA23" s="144">
        <v>284.83944322614798</v>
      </c>
      <c r="AB23" s="144">
        <v>0</v>
      </c>
      <c r="AC23" s="144">
        <v>0</v>
      </c>
      <c r="AD23" s="144">
        <v>22.593468937112899</v>
      </c>
      <c r="AE23" s="144">
        <v>0</v>
      </c>
      <c r="AF23" s="144">
        <v>3.0856163480390002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225.79478983981801</v>
      </c>
      <c r="AM23" s="144">
        <v>0</v>
      </c>
      <c r="AN23" s="144">
        <v>0</v>
      </c>
      <c r="AO23" s="144">
        <v>0</v>
      </c>
      <c r="AP23" s="144">
        <v>0</v>
      </c>
      <c r="AQ23" s="145">
        <v>0</v>
      </c>
    </row>
    <row r="24" spans="2:43" ht="12" customHeight="1" x14ac:dyDescent="0.3">
      <c r="B24" s="143" t="s">
        <v>22</v>
      </c>
      <c r="C24" s="144" t="s">
        <v>23</v>
      </c>
      <c r="D24" s="144" t="s">
        <v>24</v>
      </c>
      <c r="E24" s="144" t="s">
        <v>1018</v>
      </c>
      <c r="F24" s="144" t="s">
        <v>25</v>
      </c>
      <c r="G24" s="144" t="s">
        <v>25</v>
      </c>
      <c r="H24" s="144" t="s">
        <v>67</v>
      </c>
      <c r="I24" s="144" t="s">
        <v>25</v>
      </c>
      <c r="J24" s="144">
        <v>905.05</v>
      </c>
      <c r="K24" s="144">
        <v>225.79</v>
      </c>
      <c r="L24" s="144">
        <v>0</v>
      </c>
      <c r="M24" s="144">
        <v>2.3768405154799099</v>
      </c>
      <c r="N24" s="144">
        <v>0</v>
      </c>
      <c r="O24" s="144">
        <v>0</v>
      </c>
      <c r="P24" s="144">
        <v>0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4">
        <v>0</v>
      </c>
      <c r="W24" s="144">
        <v>0</v>
      </c>
      <c r="X24" s="144">
        <v>385.89518427653297</v>
      </c>
      <c r="Y24" s="144">
        <v>0</v>
      </c>
      <c r="Z24" s="144">
        <v>0</v>
      </c>
      <c r="AA24" s="144">
        <v>491.10230723697902</v>
      </c>
      <c r="AB24" s="144">
        <v>0</v>
      </c>
      <c r="AC24" s="144">
        <v>0</v>
      </c>
      <c r="AD24" s="144">
        <v>22.593468937112899</v>
      </c>
      <c r="AE24" s="144">
        <v>0</v>
      </c>
      <c r="AF24" s="144">
        <v>3.0856163480390002</v>
      </c>
      <c r="AG24" s="144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225.79478983981801</v>
      </c>
      <c r="AM24" s="144">
        <v>0</v>
      </c>
      <c r="AN24" s="144">
        <v>0</v>
      </c>
      <c r="AO24" s="144">
        <v>0</v>
      </c>
      <c r="AP24" s="144">
        <v>0</v>
      </c>
      <c r="AQ24" s="145">
        <v>0</v>
      </c>
    </row>
    <row r="25" spans="2:43" ht="12" customHeight="1" x14ac:dyDescent="0.3">
      <c r="B25" s="143" t="s">
        <v>22</v>
      </c>
      <c r="C25" s="144" t="s">
        <v>23</v>
      </c>
      <c r="D25" s="144" t="s">
        <v>24</v>
      </c>
      <c r="E25" s="144" t="s">
        <v>24</v>
      </c>
      <c r="F25" s="144" t="s">
        <v>25</v>
      </c>
      <c r="G25" s="144" t="s">
        <v>25</v>
      </c>
      <c r="H25" s="144" t="s">
        <v>67</v>
      </c>
      <c r="I25" s="144" t="s">
        <v>25</v>
      </c>
      <c r="J25" s="144">
        <v>1046.47</v>
      </c>
      <c r="K25" s="144">
        <v>225.79</v>
      </c>
      <c r="L25" s="144">
        <v>48.698907051497798</v>
      </c>
      <c r="M25" s="144">
        <v>2.3768405154799099</v>
      </c>
      <c r="N25" s="144">
        <v>0</v>
      </c>
      <c r="O25" s="144">
        <v>0</v>
      </c>
      <c r="P25" s="144">
        <v>0</v>
      </c>
      <c r="Q25" s="144">
        <v>79.008390922432298</v>
      </c>
      <c r="R25" s="144">
        <v>13.7102503807668</v>
      </c>
      <c r="S25" s="144">
        <v>0</v>
      </c>
      <c r="T25" s="144">
        <v>0</v>
      </c>
      <c r="U25" s="144">
        <v>0</v>
      </c>
      <c r="V25" s="144">
        <v>0</v>
      </c>
      <c r="W25" s="144">
        <v>0</v>
      </c>
      <c r="X25" s="144">
        <v>385.89518427653297</v>
      </c>
      <c r="Y25" s="144">
        <v>0</v>
      </c>
      <c r="Z25" s="144">
        <v>0</v>
      </c>
      <c r="AA25" s="144">
        <v>491.10230723697902</v>
      </c>
      <c r="AB25" s="144">
        <v>0</v>
      </c>
      <c r="AC25" s="144">
        <v>0</v>
      </c>
      <c r="AD25" s="144">
        <v>22.593468937112899</v>
      </c>
      <c r="AE25" s="144">
        <v>0</v>
      </c>
      <c r="AF25" s="144">
        <v>3.0856163480390002</v>
      </c>
      <c r="AG25" s="144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225.79478983981801</v>
      </c>
      <c r="AM25" s="144">
        <v>0</v>
      </c>
      <c r="AN25" s="144">
        <v>0</v>
      </c>
      <c r="AO25" s="144">
        <v>0</v>
      </c>
      <c r="AP25" s="144">
        <v>0</v>
      </c>
      <c r="AQ25" s="145">
        <v>0</v>
      </c>
    </row>
    <row r="26" spans="2:43" ht="12" customHeight="1" x14ac:dyDescent="0.3">
      <c r="B26" s="143" t="s">
        <v>22</v>
      </c>
      <c r="C26" s="144" t="s">
        <v>84</v>
      </c>
      <c r="D26" s="144" t="s">
        <v>24</v>
      </c>
      <c r="E26" s="144" t="s">
        <v>1018</v>
      </c>
      <c r="F26" s="144" t="s">
        <v>25</v>
      </c>
      <c r="G26" s="144" t="s">
        <v>25</v>
      </c>
      <c r="H26" s="144" t="s">
        <v>67</v>
      </c>
      <c r="I26" s="144" t="s">
        <v>25</v>
      </c>
      <c r="J26" s="144">
        <v>905.05</v>
      </c>
      <c r="K26" s="144">
        <v>225.79</v>
      </c>
      <c r="L26" s="144">
        <v>0</v>
      </c>
      <c r="M26" s="144">
        <v>2.3768405154799099</v>
      </c>
      <c r="N26" s="144">
        <v>0</v>
      </c>
      <c r="O26" s="144">
        <v>0</v>
      </c>
      <c r="P26" s="144">
        <v>0</v>
      </c>
      <c r="Q26" s="144">
        <v>0</v>
      </c>
      <c r="R26" s="144">
        <v>0</v>
      </c>
      <c r="S26" s="144">
        <v>0</v>
      </c>
      <c r="T26" s="144">
        <v>0</v>
      </c>
      <c r="U26" s="144">
        <v>0</v>
      </c>
      <c r="V26" s="144">
        <v>0</v>
      </c>
      <c r="W26" s="144">
        <v>0</v>
      </c>
      <c r="X26" s="144">
        <v>385.89518427653297</v>
      </c>
      <c r="Y26" s="144">
        <v>0</v>
      </c>
      <c r="Z26" s="144">
        <v>0</v>
      </c>
      <c r="AA26" s="144">
        <v>491.10230723697902</v>
      </c>
      <c r="AB26" s="144">
        <v>0</v>
      </c>
      <c r="AC26" s="144">
        <v>0</v>
      </c>
      <c r="AD26" s="144">
        <v>22.593468937112899</v>
      </c>
      <c r="AE26" s="144">
        <v>0</v>
      </c>
      <c r="AF26" s="144">
        <v>3.0856163480390002</v>
      </c>
      <c r="AG26" s="144">
        <v>0</v>
      </c>
      <c r="AH26" s="144">
        <v>0</v>
      </c>
      <c r="AI26" s="144">
        <v>0</v>
      </c>
      <c r="AJ26" s="144">
        <v>0</v>
      </c>
      <c r="AK26" s="144">
        <v>0</v>
      </c>
      <c r="AL26" s="144">
        <v>225.79478983981801</v>
      </c>
      <c r="AM26" s="144">
        <v>0</v>
      </c>
      <c r="AN26" s="144">
        <v>0</v>
      </c>
      <c r="AO26" s="144">
        <v>0</v>
      </c>
      <c r="AP26" s="144">
        <v>0</v>
      </c>
      <c r="AQ26" s="145">
        <v>0</v>
      </c>
    </row>
    <row r="27" spans="2:43" ht="12" customHeight="1" x14ac:dyDescent="0.3">
      <c r="B27" s="143" t="s">
        <v>22</v>
      </c>
      <c r="C27" s="144" t="s">
        <v>84</v>
      </c>
      <c r="D27" s="144" t="s">
        <v>24</v>
      </c>
      <c r="E27" s="144" t="s">
        <v>24</v>
      </c>
      <c r="F27" s="144" t="s">
        <v>25</v>
      </c>
      <c r="G27" s="144" t="s">
        <v>25</v>
      </c>
      <c r="H27" s="144" t="s">
        <v>67</v>
      </c>
      <c r="I27" s="144" t="s">
        <v>25</v>
      </c>
      <c r="J27" s="144">
        <v>1046.47</v>
      </c>
      <c r="K27" s="144">
        <v>225.79</v>
      </c>
      <c r="L27" s="144">
        <v>48.698907051497798</v>
      </c>
      <c r="M27" s="144">
        <v>2.3768405154799099</v>
      </c>
      <c r="N27" s="144">
        <v>0</v>
      </c>
      <c r="O27" s="144">
        <v>0</v>
      </c>
      <c r="P27" s="144">
        <v>0</v>
      </c>
      <c r="Q27" s="144">
        <v>79.008390922432298</v>
      </c>
      <c r="R27" s="144">
        <v>13.7102503807668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385.89518427653297</v>
      </c>
      <c r="Y27" s="144">
        <v>0</v>
      </c>
      <c r="Z27" s="144">
        <v>0</v>
      </c>
      <c r="AA27" s="144">
        <v>491.10230723697902</v>
      </c>
      <c r="AB27" s="144">
        <v>0</v>
      </c>
      <c r="AC27" s="144">
        <v>0</v>
      </c>
      <c r="AD27" s="144">
        <v>22.593468937112899</v>
      </c>
      <c r="AE27" s="144">
        <v>0</v>
      </c>
      <c r="AF27" s="144">
        <v>3.0856163480390002</v>
      </c>
      <c r="AG27" s="144">
        <v>0</v>
      </c>
      <c r="AH27" s="144">
        <v>0</v>
      </c>
      <c r="AI27" s="144">
        <v>0</v>
      </c>
      <c r="AJ27" s="144">
        <v>0</v>
      </c>
      <c r="AK27" s="144">
        <v>0</v>
      </c>
      <c r="AL27" s="144">
        <v>225.79478983981801</v>
      </c>
      <c r="AM27" s="144">
        <v>0</v>
      </c>
      <c r="AN27" s="144">
        <v>0</v>
      </c>
      <c r="AO27" s="144">
        <v>0</v>
      </c>
      <c r="AP27" s="144">
        <v>0</v>
      </c>
      <c r="AQ27" s="145">
        <v>0</v>
      </c>
    </row>
    <row r="28" spans="2:43" ht="12" customHeight="1" x14ac:dyDescent="0.3">
      <c r="B28" s="143" t="s">
        <v>40</v>
      </c>
      <c r="C28" s="144" t="s">
        <v>82</v>
      </c>
      <c r="D28" s="144" t="s">
        <v>41</v>
      </c>
      <c r="E28" s="144" t="s">
        <v>85</v>
      </c>
      <c r="F28" s="144" t="s">
        <v>25</v>
      </c>
      <c r="G28" s="144" t="s">
        <v>38</v>
      </c>
      <c r="H28" s="144" t="s">
        <v>67</v>
      </c>
      <c r="I28" s="144" t="s">
        <v>25</v>
      </c>
      <c r="J28" s="144">
        <v>2632.44</v>
      </c>
      <c r="K28" s="144">
        <v>212.25</v>
      </c>
      <c r="L28" s="144">
        <v>45.776972628407897</v>
      </c>
      <c r="M28" s="144">
        <v>2.23423008455112</v>
      </c>
      <c r="N28" s="144">
        <v>0</v>
      </c>
      <c r="O28" s="144">
        <v>0</v>
      </c>
      <c r="P28" s="144">
        <v>0</v>
      </c>
      <c r="Q28" s="144">
        <v>74.267887467086396</v>
      </c>
      <c r="R28" s="144">
        <v>12.8876353579208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1088.2229914515699</v>
      </c>
      <c r="Y28" s="144">
        <v>0</v>
      </c>
      <c r="Z28" s="144">
        <v>0</v>
      </c>
      <c r="AA28" s="144">
        <v>1384.9086071500899</v>
      </c>
      <c r="AB28" s="144">
        <v>0</v>
      </c>
      <c r="AC28" s="144">
        <v>0</v>
      </c>
      <c r="AD28" s="144">
        <v>21.2378608008862</v>
      </c>
      <c r="AE28" s="144">
        <v>0</v>
      </c>
      <c r="AF28" s="144">
        <v>2.90047936715666</v>
      </c>
      <c r="AG28" s="144">
        <v>0</v>
      </c>
      <c r="AH28" s="144">
        <v>0</v>
      </c>
      <c r="AI28" s="144">
        <v>0</v>
      </c>
      <c r="AJ28" s="144">
        <v>0</v>
      </c>
      <c r="AK28" s="144">
        <v>0</v>
      </c>
      <c r="AL28" s="144">
        <v>212.24710244942901</v>
      </c>
      <c r="AM28" s="144">
        <v>0</v>
      </c>
      <c r="AN28" s="144">
        <v>0</v>
      </c>
      <c r="AO28" s="144">
        <v>0</v>
      </c>
      <c r="AP28" s="144">
        <v>0</v>
      </c>
      <c r="AQ28" s="145">
        <v>0</v>
      </c>
    </row>
    <row r="29" spans="2:43" ht="12" customHeight="1" x14ac:dyDescent="0.3">
      <c r="B29" s="143" t="s">
        <v>40</v>
      </c>
      <c r="C29" s="144" t="s">
        <v>82</v>
      </c>
      <c r="D29" s="144" t="s">
        <v>41</v>
      </c>
      <c r="E29" s="144" t="s">
        <v>85</v>
      </c>
      <c r="F29" s="144" t="s">
        <v>25</v>
      </c>
      <c r="G29" s="144" t="s">
        <v>493</v>
      </c>
      <c r="H29" s="144" t="s">
        <v>67</v>
      </c>
      <c r="I29" s="144" t="s">
        <v>25</v>
      </c>
      <c r="J29" s="144">
        <v>1643.18</v>
      </c>
      <c r="K29" s="144">
        <v>212.25</v>
      </c>
      <c r="L29" s="144">
        <v>45.776972628407897</v>
      </c>
      <c r="M29" s="144">
        <v>2.23423008455112</v>
      </c>
      <c r="N29" s="144">
        <v>0</v>
      </c>
      <c r="O29" s="144">
        <v>0</v>
      </c>
      <c r="P29" s="144">
        <v>0</v>
      </c>
      <c r="Q29" s="144">
        <v>74.267887467086396</v>
      </c>
      <c r="R29" s="144">
        <v>12.8876353579208</v>
      </c>
      <c r="S29" s="144">
        <v>0</v>
      </c>
      <c r="T29" s="144">
        <v>0</v>
      </c>
      <c r="U29" s="144">
        <v>0</v>
      </c>
      <c r="V29" s="144">
        <v>0</v>
      </c>
      <c r="W29" s="144">
        <v>0</v>
      </c>
      <c r="X29" s="144">
        <v>652.93168112273099</v>
      </c>
      <c r="Y29" s="144">
        <v>0</v>
      </c>
      <c r="Z29" s="144">
        <v>0</v>
      </c>
      <c r="AA29" s="144">
        <v>830.94518443841901</v>
      </c>
      <c r="AB29" s="144">
        <v>0</v>
      </c>
      <c r="AC29" s="144">
        <v>0</v>
      </c>
      <c r="AD29" s="144">
        <v>21.2378608008862</v>
      </c>
      <c r="AE29" s="144">
        <v>0</v>
      </c>
      <c r="AF29" s="144">
        <v>2.90047936715666</v>
      </c>
      <c r="AG29" s="144">
        <v>0</v>
      </c>
      <c r="AH29" s="144">
        <v>0</v>
      </c>
      <c r="AI29" s="144">
        <v>0</v>
      </c>
      <c r="AJ29" s="144">
        <v>0</v>
      </c>
      <c r="AK29" s="144">
        <v>0</v>
      </c>
      <c r="AL29" s="144">
        <v>212.24710244942901</v>
      </c>
      <c r="AM29" s="144">
        <v>0</v>
      </c>
      <c r="AN29" s="144">
        <v>0</v>
      </c>
      <c r="AO29" s="144">
        <v>0</v>
      </c>
      <c r="AP29" s="144">
        <v>0</v>
      </c>
      <c r="AQ29" s="145">
        <v>0</v>
      </c>
    </row>
    <row r="30" spans="2:43" ht="12" customHeight="1" x14ac:dyDescent="0.3">
      <c r="B30" s="143" t="s">
        <v>40</v>
      </c>
      <c r="C30" s="144" t="s">
        <v>82</v>
      </c>
      <c r="D30" s="144" t="s">
        <v>41</v>
      </c>
      <c r="E30" s="144" t="s">
        <v>85</v>
      </c>
      <c r="F30" s="144" t="s">
        <v>25</v>
      </c>
      <c r="G30" s="144" t="s">
        <v>39</v>
      </c>
      <c r="H30" s="144" t="s">
        <v>67</v>
      </c>
      <c r="I30" s="144" t="s">
        <v>25</v>
      </c>
      <c r="J30" s="144">
        <v>653.92999999999995</v>
      </c>
      <c r="K30" s="144">
        <v>212.25</v>
      </c>
      <c r="L30" s="144">
        <v>45.776972628407897</v>
      </c>
      <c r="M30" s="144">
        <v>2.23423008455112</v>
      </c>
      <c r="N30" s="144">
        <v>0</v>
      </c>
      <c r="O30" s="144">
        <v>0</v>
      </c>
      <c r="P30" s="144">
        <v>0</v>
      </c>
      <c r="Q30" s="144">
        <v>74.267887467086396</v>
      </c>
      <c r="R30" s="144">
        <v>12.8876353579208</v>
      </c>
      <c r="S30" s="144">
        <v>0</v>
      </c>
      <c r="T30" s="144">
        <v>0</v>
      </c>
      <c r="U30" s="144">
        <v>0</v>
      </c>
      <c r="V30" s="144">
        <v>0</v>
      </c>
      <c r="W30" s="144">
        <v>0</v>
      </c>
      <c r="X30" s="144">
        <v>217.64551234359499</v>
      </c>
      <c r="Y30" s="144">
        <v>0</v>
      </c>
      <c r="Z30" s="144">
        <v>0</v>
      </c>
      <c r="AA30" s="144">
        <v>276.98186246855897</v>
      </c>
      <c r="AB30" s="144">
        <v>0</v>
      </c>
      <c r="AC30" s="144">
        <v>0</v>
      </c>
      <c r="AD30" s="144">
        <v>21.2378608008862</v>
      </c>
      <c r="AE30" s="144">
        <v>0</v>
      </c>
      <c r="AF30" s="144">
        <v>2.90047936715666</v>
      </c>
      <c r="AG30" s="144">
        <v>0</v>
      </c>
      <c r="AH30" s="144">
        <v>0</v>
      </c>
      <c r="AI30" s="144">
        <v>0</v>
      </c>
      <c r="AJ30" s="144">
        <v>0</v>
      </c>
      <c r="AK30" s="144">
        <v>0</v>
      </c>
      <c r="AL30" s="144">
        <v>212.24710244942901</v>
      </c>
      <c r="AM30" s="144">
        <v>0</v>
      </c>
      <c r="AN30" s="144">
        <v>0</v>
      </c>
      <c r="AO30" s="144">
        <v>0</v>
      </c>
      <c r="AP30" s="144">
        <v>0</v>
      </c>
      <c r="AQ30" s="145">
        <v>0</v>
      </c>
    </row>
    <row r="31" spans="2:43" ht="12" customHeight="1" x14ac:dyDescent="0.3">
      <c r="B31" s="143" t="s">
        <v>40</v>
      </c>
      <c r="C31" s="144" t="s">
        <v>82</v>
      </c>
      <c r="D31" s="144" t="s">
        <v>41</v>
      </c>
      <c r="E31" s="144" t="s">
        <v>25</v>
      </c>
      <c r="F31" s="144" t="s">
        <v>25</v>
      </c>
      <c r="G31" s="144" t="s">
        <v>38</v>
      </c>
      <c r="H31" s="144" t="s">
        <v>67</v>
      </c>
      <c r="I31" s="144" t="s">
        <v>25</v>
      </c>
      <c r="J31" s="144">
        <v>2632.44</v>
      </c>
      <c r="K31" s="144">
        <v>212.25</v>
      </c>
      <c r="L31" s="144">
        <v>45.776972628407897</v>
      </c>
      <c r="M31" s="144">
        <v>2.23423008455112</v>
      </c>
      <c r="N31" s="144">
        <v>0</v>
      </c>
      <c r="O31" s="144">
        <v>0</v>
      </c>
      <c r="P31" s="144">
        <v>0</v>
      </c>
      <c r="Q31" s="144">
        <v>74.267887467086396</v>
      </c>
      <c r="R31" s="144">
        <v>12.8876353579208</v>
      </c>
      <c r="S31" s="144">
        <v>0</v>
      </c>
      <c r="T31" s="144">
        <v>0</v>
      </c>
      <c r="U31" s="144">
        <v>0</v>
      </c>
      <c r="V31" s="144">
        <v>0</v>
      </c>
      <c r="W31" s="144">
        <v>0</v>
      </c>
      <c r="X31" s="144">
        <v>1088.2229914515699</v>
      </c>
      <c r="Y31" s="144">
        <v>0</v>
      </c>
      <c r="Z31" s="144">
        <v>0</v>
      </c>
      <c r="AA31" s="144">
        <v>1384.9086071500899</v>
      </c>
      <c r="AB31" s="144">
        <v>0</v>
      </c>
      <c r="AC31" s="144">
        <v>0</v>
      </c>
      <c r="AD31" s="144">
        <v>21.2378608008862</v>
      </c>
      <c r="AE31" s="144">
        <v>0</v>
      </c>
      <c r="AF31" s="144">
        <v>2.90047936715666</v>
      </c>
      <c r="AG31" s="144">
        <v>0</v>
      </c>
      <c r="AH31" s="144">
        <v>0</v>
      </c>
      <c r="AI31" s="144">
        <v>0</v>
      </c>
      <c r="AJ31" s="144">
        <v>0</v>
      </c>
      <c r="AK31" s="144">
        <v>0</v>
      </c>
      <c r="AL31" s="144">
        <v>212.24710244942901</v>
      </c>
      <c r="AM31" s="144">
        <v>0</v>
      </c>
      <c r="AN31" s="144">
        <v>0</v>
      </c>
      <c r="AO31" s="144">
        <v>0</v>
      </c>
      <c r="AP31" s="144">
        <v>0</v>
      </c>
      <c r="AQ31" s="145">
        <v>0</v>
      </c>
    </row>
    <row r="32" spans="2:43" ht="12" customHeight="1" x14ac:dyDescent="0.3">
      <c r="B32" s="143" t="s">
        <v>40</v>
      </c>
      <c r="C32" s="144" t="s">
        <v>82</v>
      </c>
      <c r="D32" s="144" t="s">
        <v>41</v>
      </c>
      <c r="E32" s="144" t="s">
        <v>25</v>
      </c>
      <c r="F32" s="144" t="s">
        <v>25</v>
      </c>
      <c r="G32" s="144" t="s">
        <v>493</v>
      </c>
      <c r="H32" s="144" t="s">
        <v>67</v>
      </c>
      <c r="I32" s="144" t="s">
        <v>25</v>
      </c>
      <c r="J32" s="144">
        <v>1643.18</v>
      </c>
      <c r="K32" s="144">
        <v>212.25</v>
      </c>
      <c r="L32" s="144">
        <v>45.776972628407897</v>
      </c>
      <c r="M32" s="144">
        <v>2.23423008455112</v>
      </c>
      <c r="N32" s="144">
        <v>0</v>
      </c>
      <c r="O32" s="144">
        <v>0</v>
      </c>
      <c r="P32" s="144">
        <v>0</v>
      </c>
      <c r="Q32" s="144">
        <v>74.267887467086396</v>
      </c>
      <c r="R32" s="144">
        <v>12.8876353579208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652.93168112273099</v>
      </c>
      <c r="Y32" s="144">
        <v>0</v>
      </c>
      <c r="Z32" s="144">
        <v>0</v>
      </c>
      <c r="AA32" s="144">
        <v>830.94518443841901</v>
      </c>
      <c r="AB32" s="144">
        <v>0</v>
      </c>
      <c r="AC32" s="144">
        <v>0</v>
      </c>
      <c r="AD32" s="144">
        <v>21.2378608008862</v>
      </c>
      <c r="AE32" s="144">
        <v>0</v>
      </c>
      <c r="AF32" s="144">
        <v>2.90047936715666</v>
      </c>
      <c r="AG32" s="144">
        <v>0</v>
      </c>
      <c r="AH32" s="144">
        <v>0</v>
      </c>
      <c r="AI32" s="144">
        <v>0</v>
      </c>
      <c r="AJ32" s="144">
        <v>0</v>
      </c>
      <c r="AK32" s="144">
        <v>0</v>
      </c>
      <c r="AL32" s="144">
        <v>212.24710244942901</v>
      </c>
      <c r="AM32" s="144">
        <v>0</v>
      </c>
      <c r="AN32" s="144">
        <v>0</v>
      </c>
      <c r="AO32" s="144">
        <v>0</v>
      </c>
      <c r="AP32" s="144">
        <v>0</v>
      </c>
      <c r="AQ32" s="145">
        <v>0</v>
      </c>
    </row>
    <row r="33" spans="2:43" ht="12" customHeight="1" x14ac:dyDescent="0.3">
      <c r="B33" s="143" t="s">
        <v>40</v>
      </c>
      <c r="C33" s="144" t="s">
        <v>82</v>
      </c>
      <c r="D33" s="144" t="s">
        <v>41</v>
      </c>
      <c r="E33" s="144" t="s">
        <v>25</v>
      </c>
      <c r="F33" s="144" t="s">
        <v>25</v>
      </c>
      <c r="G33" s="144" t="s">
        <v>39</v>
      </c>
      <c r="H33" s="144" t="s">
        <v>67</v>
      </c>
      <c r="I33" s="144" t="s">
        <v>25</v>
      </c>
      <c r="J33" s="144">
        <v>653.92999999999995</v>
      </c>
      <c r="K33" s="144">
        <v>212.25</v>
      </c>
      <c r="L33" s="144">
        <v>45.776972628407897</v>
      </c>
      <c r="M33" s="144">
        <v>2.23423008455112</v>
      </c>
      <c r="N33" s="144">
        <v>0</v>
      </c>
      <c r="O33" s="144">
        <v>0</v>
      </c>
      <c r="P33" s="144">
        <v>0</v>
      </c>
      <c r="Q33" s="144">
        <v>74.267887467086396</v>
      </c>
      <c r="R33" s="144">
        <v>12.8876353579208</v>
      </c>
      <c r="S33" s="144">
        <v>0</v>
      </c>
      <c r="T33" s="144">
        <v>0</v>
      </c>
      <c r="U33" s="144">
        <v>0</v>
      </c>
      <c r="V33" s="144">
        <v>0</v>
      </c>
      <c r="W33" s="144">
        <v>0</v>
      </c>
      <c r="X33" s="144">
        <v>217.64551234359499</v>
      </c>
      <c r="Y33" s="144">
        <v>0</v>
      </c>
      <c r="Z33" s="144">
        <v>0</v>
      </c>
      <c r="AA33" s="144">
        <v>276.98186246855897</v>
      </c>
      <c r="AB33" s="144">
        <v>0</v>
      </c>
      <c r="AC33" s="144">
        <v>0</v>
      </c>
      <c r="AD33" s="144">
        <v>21.2378608008862</v>
      </c>
      <c r="AE33" s="144">
        <v>0</v>
      </c>
      <c r="AF33" s="144">
        <v>2.90047936715666</v>
      </c>
      <c r="AG33" s="144">
        <v>0</v>
      </c>
      <c r="AH33" s="144">
        <v>0</v>
      </c>
      <c r="AI33" s="144">
        <v>0</v>
      </c>
      <c r="AJ33" s="144">
        <v>0</v>
      </c>
      <c r="AK33" s="144">
        <v>0</v>
      </c>
      <c r="AL33" s="144">
        <v>212.24710244942901</v>
      </c>
      <c r="AM33" s="144">
        <v>0</v>
      </c>
      <c r="AN33" s="144">
        <v>0</v>
      </c>
      <c r="AO33" s="144">
        <v>0</v>
      </c>
      <c r="AP33" s="144">
        <v>0</v>
      </c>
      <c r="AQ33" s="145">
        <v>0</v>
      </c>
    </row>
    <row r="34" spans="2:43" ht="12" customHeight="1" x14ac:dyDescent="0.3">
      <c r="B34" s="143" t="s">
        <v>40</v>
      </c>
      <c r="C34" s="144" t="s">
        <v>82</v>
      </c>
      <c r="D34" s="144" t="s">
        <v>41</v>
      </c>
      <c r="E34" s="144" t="s">
        <v>86</v>
      </c>
      <c r="F34" s="144" t="s">
        <v>25</v>
      </c>
      <c r="G34" s="144" t="s">
        <v>38</v>
      </c>
      <c r="H34" s="144" t="s">
        <v>67</v>
      </c>
      <c r="I34" s="144" t="s">
        <v>25</v>
      </c>
      <c r="J34" s="144">
        <v>2576.4299999999998</v>
      </c>
      <c r="K34" s="144">
        <v>207.73</v>
      </c>
      <c r="L34" s="144">
        <v>44.802994487377902</v>
      </c>
      <c r="M34" s="144">
        <v>2.1866932742415202</v>
      </c>
      <c r="N34" s="144">
        <v>0</v>
      </c>
      <c r="O34" s="144">
        <v>0</v>
      </c>
      <c r="P34" s="144">
        <v>0</v>
      </c>
      <c r="Q34" s="144">
        <v>72.687719648637696</v>
      </c>
      <c r="R34" s="144">
        <v>12.613430350305499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1065.0693107823899</v>
      </c>
      <c r="Y34" s="144">
        <v>0</v>
      </c>
      <c r="Z34" s="144">
        <v>0</v>
      </c>
      <c r="AA34" s="144">
        <v>1355.44246657243</v>
      </c>
      <c r="AB34" s="144">
        <v>0</v>
      </c>
      <c r="AC34" s="144">
        <v>0</v>
      </c>
      <c r="AD34" s="144">
        <v>20.785991422143901</v>
      </c>
      <c r="AE34" s="144">
        <v>0</v>
      </c>
      <c r="AF34" s="144">
        <v>2.8387670401958802</v>
      </c>
      <c r="AG34" s="144">
        <v>0</v>
      </c>
      <c r="AH34" s="144">
        <v>0</v>
      </c>
      <c r="AI34" s="144">
        <v>0</v>
      </c>
      <c r="AJ34" s="144">
        <v>0</v>
      </c>
      <c r="AK34" s="144">
        <v>0</v>
      </c>
      <c r="AL34" s="144">
        <v>207.73120665263201</v>
      </c>
      <c r="AM34" s="144">
        <v>0</v>
      </c>
      <c r="AN34" s="144">
        <v>0</v>
      </c>
      <c r="AO34" s="144">
        <v>0</v>
      </c>
      <c r="AP34" s="144">
        <v>0</v>
      </c>
      <c r="AQ34" s="145">
        <v>0</v>
      </c>
    </row>
    <row r="35" spans="2:43" ht="12" customHeight="1" x14ac:dyDescent="0.3">
      <c r="B35" s="143" t="s">
        <v>40</v>
      </c>
      <c r="C35" s="144" t="s">
        <v>82</v>
      </c>
      <c r="D35" s="144" t="s">
        <v>41</v>
      </c>
      <c r="E35" s="144" t="s">
        <v>86</v>
      </c>
      <c r="F35" s="144" t="s">
        <v>25</v>
      </c>
      <c r="G35" s="144" t="s">
        <v>493</v>
      </c>
      <c r="H35" s="144" t="s">
        <v>67</v>
      </c>
      <c r="I35" s="144" t="s">
        <v>25</v>
      </c>
      <c r="J35" s="144">
        <v>1608.22</v>
      </c>
      <c r="K35" s="144">
        <v>207.73</v>
      </c>
      <c r="L35" s="144">
        <v>44.802994487377902</v>
      </c>
      <c r="M35" s="144">
        <v>2.1866932742415202</v>
      </c>
      <c r="N35" s="144">
        <v>0</v>
      </c>
      <c r="O35" s="144">
        <v>0</v>
      </c>
      <c r="P35" s="144">
        <v>0</v>
      </c>
      <c r="Q35" s="144">
        <v>72.687719648637696</v>
      </c>
      <c r="R35" s="144">
        <v>12.613430350305499</v>
      </c>
      <c r="S35" s="144">
        <v>0</v>
      </c>
      <c r="T35" s="144">
        <v>0</v>
      </c>
      <c r="U35" s="144">
        <v>0</v>
      </c>
      <c r="V35" s="144">
        <v>0</v>
      </c>
      <c r="W35" s="144">
        <v>0</v>
      </c>
      <c r="X35" s="144">
        <v>639.03951769458695</v>
      </c>
      <c r="Y35" s="144">
        <v>0</v>
      </c>
      <c r="Z35" s="144">
        <v>0</v>
      </c>
      <c r="AA35" s="144">
        <v>813.26549966313405</v>
      </c>
      <c r="AB35" s="144">
        <v>0</v>
      </c>
      <c r="AC35" s="144">
        <v>0</v>
      </c>
      <c r="AD35" s="144">
        <v>20.785991422143901</v>
      </c>
      <c r="AE35" s="144">
        <v>0</v>
      </c>
      <c r="AF35" s="144">
        <v>2.8387670401958802</v>
      </c>
      <c r="AG35" s="144">
        <v>0</v>
      </c>
      <c r="AH35" s="144">
        <v>0</v>
      </c>
      <c r="AI35" s="144">
        <v>0</v>
      </c>
      <c r="AJ35" s="144">
        <v>0</v>
      </c>
      <c r="AK35" s="144">
        <v>0</v>
      </c>
      <c r="AL35" s="144">
        <v>207.73120665263201</v>
      </c>
      <c r="AM35" s="144">
        <v>0</v>
      </c>
      <c r="AN35" s="144">
        <v>0</v>
      </c>
      <c r="AO35" s="144">
        <v>0</v>
      </c>
      <c r="AP35" s="144">
        <v>0</v>
      </c>
      <c r="AQ35" s="145">
        <v>0</v>
      </c>
    </row>
    <row r="36" spans="2:43" ht="12" customHeight="1" x14ac:dyDescent="0.3">
      <c r="B36" s="143" t="s">
        <v>40</v>
      </c>
      <c r="C36" s="144" t="s">
        <v>82</v>
      </c>
      <c r="D36" s="144" t="s">
        <v>41</v>
      </c>
      <c r="E36" s="144" t="s">
        <v>86</v>
      </c>
      <c r="F36" s="144" t="s">
        <v>25</v>
      </c>
      <c r="G36" s="144" t="s">
        <v>39</v>
      </c>
      <c r="H36" s="144" t="s">
        <v>67</v>
      </c>
      <c r="I36" s="144" t="s">
        <v>25</v>
      </c>
      <c r="J36" s="144">
        <v>640.02</v>
      </c>
      <c r="K36" s="144">
        <v>207.73</v>
      </c>
      <c r="L36" s="144">
        <v>44.802994487377902</v>
      </c>
      <c r="M36" s="144">
        <v>2.1866932742415202</v>
      </c>
      <c r="N36" s="144">
        <v>0</v>
      </c>
      <c r="O36" s="144">
        <v>0</v>
      </c>
      <c r="P36" s="144">
        <v>0</v>
      </c>
      <c r="Q36" s="144">
        <v>72.687719648637696</v>
      </c>
      <c r="R36" s="144">
        <v>12.613430350305499</v>
      </c>
      <c r="S36" s="144">
        <v>0</v>
      </c>
      <c r="T36" s="144">
        <v>0</v>
      </c>
      <c r="U36" s="144">
        <v>0</v>
      </c>
      <c r="V36" s="144">
        <v>0</v>
      </c>
      <c r="W36" s="144">
        <v>0</v>
      </c>
      <c r="X36" s="144">
        <v>213.01475676181599</v>
      </c>
      <c r="Y36" s="144">
        <v>0</v>
      </c>
      <c r="Z36" s="144">
        <v>0</v>
      </c>
      <c r="AA36" s="144">
        <v>271.08863135220702</v>
      </c>
      <c r="AB36" s="144">
        <v>0</v>
      </c>
      <c r="AC36" s="144">
        <v>0</v>
      </c>
      <c r="AD36" s="144">
        <v>20.785991422143901</v>
      </c>
      <c r="AE36" s="144">
        <v>0</v>
      </c>
      <c r="AF36" s="144">
        <v>2.8387670401958802</v>
      </c>
      <c r="AG36" s="144">
        <v>0</v>
      </c>
      <c r="AH36" s="144">
        <v>0</v>
      </c>
      <c r="AI36" s="144">
        <v>0</v>
      </c>
      <c r="AJ36" s="144">
        <v>0</v>
      </c>
      <c r="AK36" s="144">
        <v>0</v>
      </c>
      <c r="AL36" s="144">
        <v>207.73120665263201</v>
      </c>
      <c r="AM36" s="144">
        <v>0</v>
      </c>
      <c r="AN36" s="144">
        <v>0</v>
      </c>
      <c r="AO36" s="144">
        <v>0</v>
      </c>
      <c r="AP36" s="144">
        <v>0</v>
      </c>
      <c r="AQ36" s="145">
        <v>0</v>
      </c>
    </row>
    <row r="37" spans="2:43" ht="12" customHeight="1" x14ac:dyDescent="0.3">
      <c r="B37" s="143" t="s">
        <v>40</v>
      </c>
      <c r="C37" s="144" t="s">
        <v>23</v>
      </c>
      <c r="D37" s="144" t="s">
        <v>41</v>
      </c>
      <c r="E37" s="144" t="s">
        <v>85</v>
      </c>
      <c r="F37" s="144" t="s">
        <v>25</v>
      </c>
      <c r="G37" s="144" t="s">
        <v>25</v>
      </c>
      <c r="H37" s="144" t="s">
        <v>67</v>
      </c>
      <c r="I37" s="144" t="s">
        <v>25</v>
      </c>
      <c r="J37" s="144">
        <v>983.68</v>
      </c>
      <c r="K37" s="144">
        <v>212.25</v>
      </c>
      <c r="L37" s="144">
        <v>45.776972628407897</v>
      </c>
      <c r="M37" s="144">
        <v>2.23423008455112</v>
      </c>
      <c r="N37" s="144">
        <v>0</v>
      </c>
      <c r="O37" s="144">
        <v>0</v>
      </c>
      <c r="P37" s="144">
        <v>0</v>
      </c>
      <c r="Q37" s="144">
        <v>74.267887467086396</v>
      </c>
      <c r="R37" s="144">
        <v>12.8876353579208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362.74147321994099</v>
      </c>
      <c r="Y37" s="144">
        <v>0</v>
      </c>
      <c r="Z37" s="144">
        <v>0</v>
      </c>
      <c r="AA37" s="144">
        <v>461.63616880275998</v>
      </c>
      <c r="AB37" s="144">
        <v>0</v>
      </c>
      <c r="AC37" s="144">
        <v>0</v>
      </c>
      <c r="AD37" s="144">
        <v>21.2378608008862</v>
      </c>
      <c r="AE37" s="144">
        <v>0</v>
      </c>
      <c r="AF37" s="144">
        <v>2.90047936715666</v>
      </c>
      <c r="AG37" s="144">
        <v>0</v>
      </c>
      <c r="AH37" s="144">
        <v>0</v>
      </c>
      <c r="AI37" s="144">
        <v>0</v>
      </c>
      <c r="AJ37" s="144">
        <v>0</v>
      </c>
      <c r="AK37" s="144">
        <v>0</v>
      </c>
      <c r="AL37" s="144">
        <v>212.24710244942901</v>
      </c>
      <c r="AM37" s="144">
        <v>0</v>
      </c>
      <c r="AN37" s="144">
        <v>0</v>
      </c>
      <c r="AO37" s="144">
        <v>0</v>
      </c>
      <c r="AP37" s="144">
        <v>0</v>
      </c>
      <c r="AQ37" s="145">
        <v>0</v>
      </c>
    </row>
    <row r="38" spans="2:43" ht="12" customHeight="1" x14ac:dyDescent="0.3">
      <c r="B38" s="143" t="s">
        <v>40</v>
      </c>
      <c r="C38" s="144" t="s">
        <v>23</v>
      </c>
      <c r="D38" s="144" t="s">
        <v>41</v>
      </c>
      <c r="E38" s="144" t="s">
        <v>25</v>
      </c>
      <c r="F38" s="144" t="s">
        <v>25</v>
      </c>
      <c r="G38" s="144" t="s">
        <v>25</v>
      </c>
      <c r="H38" s="144" t="s">
        <v>67</v>
      </c>
      <c r="I38" s="144" t="s">
        <v>25</v>
      </c>
      <c r="J38" s="144">
        <v>983.68</v>
      </c>
      <c r="K38" s="144">
        <v>212.25</v>
      </c>
      <c r="L38" s="144">
        <v>45.776972628407897</v>
      </c>
      <c r="M38" s="144">
        <v>2.23423008455112</v>
      </c>
      <c r="N38" s="144">
        <v>0</v>
      </c>
      <c r="O38" s="144">
        <v>0</v>
      </c>
      <c r="P38" s="144">
        <v>0</v>
      </c>
      <c r="Q38" s="144">
        <v>74.267887467086396</v>
      </c>
      <c r="R38" s="144">
        <v>12.8876353579208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362.74147321994099</v>
      </c>
      <c r="Y38" s="144">
        <v>0</v>
      </c>
      <c r="Z38" s="144">
        <v>0</v>
      </c>
      <c r="AA38" s="144">
        <v>461.63616880275998</v>
      </c>
      <c r="AB38" s="144">
        <v>0</v>
      </c>
      <c r="AC38" s="144">
        <v>0</v>
      </c>
      <c r="AD38" s="144">
        <v>21.2378608008862</v>
      </c>
      <c r="AE38" s="144">
        <v>0</v>
      </c>
      <c r="AF38" s="144">
        <v>2.90047936715666</v>
      </c>
      <c r="AG38" s="144">
        <v>0</v>
      </c>
      <c r="AH38" s="144">
        <v>0</v>
      </c>
      <c r="AI38" s="144">
        <v>0</v>
      </c>
      <c r="AJ38" s="144">
        <v>0</v>
      </c>
      <c r="AK38" s="144">
        <v>0</v>
      </c>
      <c r="AL38" s="144">
        <v>212.24710244942901</v>
      </c>
      <c r="AM38" s="144">
        <v>0</v>
      </c>
      <c r="AN38" s="144">
        <v>0</v>
      </c>
      <c r="AO38" s="144">
        <v>0</v>
      </c>
      <c r="AP38" s="144">
        <v>0</v>
      </c>
      <c r="AQ38" s="145">
        <v>0</v>
      </c>
    </row>
    <row r="39" spans="2:43" ht="12" customHeight="1" x14ac:dyDescent="0.3">
      <c r="B39" s="143" t="s">
        <v>40</v>
      </c>
      <c r="C39" s="144" t="s">
        <v>23</v>
      </c>
      <c r="D39" s="144" t="s">
        <v>41</v>
      </c>
      <c r="E39" s="144" t="s">
        <v>86</v>
      </c>
      <c r="F39" s="144" t="s">
        <v>25</v>
      </c>
      <c r="G39" s="144" t="s">
        <v>25</v>
      </c>
      <c r="H39" s="144" t="s">
        <v>67</v>
      </c>
      <c r="I39" s="144" t="s">
        <v>25</v>
      </c>
      <c r="J39" s="144">
        <v>962.75</v>
      </c>
      <c r="K39" s="144">
        <v>207.73</v>
      </c>
      <c r="L39" s="144">
        <v>44.802994487377902</v>
      </c>
      <c r="M39" s="144">
        <v>2.1866932742415202</v>
      </c>
      <c r="N39" s="144">
        <v>0</v>
      </c>
      <c r="O39" s="144">
        <v>0</v>
      </c>
      <c r="P39" s="144">
        <v>0</v>
      </c>
      <c r="Q39" s="144">
        <v>72.687719648637696</v>
      </c>
      <c r="R39" s="144">
        <v>12.613430350305499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355.02356953441</v>
      </c>
      <c r="Y39" s="144">
        <v>0</v>
      </c>
      <c r="Z39" s="144">
        <v>0</v>
      </c>
      <c r="AA39" s="144">
        <v>451.81412265801998</v>
      </c>
      <c r="AB39" s="144">
        <v>0</v>
      </c>
      <c r="AC39" s="144">
        <v>0</v>
      </c>
      <c r="AD39" s="144">
        <v>20.785991422143901</v>
      </c>
      <c r="AE39" s="144">
        <v>0</v>
      </c>
      <c r="AF39" s="144">
        <v>2.8387670401958802</v>
      </c>
      <c r="AG39" s="144">
        <v>0</v>
      </c>
      <c r="AH39" s="144">
        <v>0</v>
      </c>
      <c r="AI39" s="144">
        <v>0</v>
      </c>
      <c r="AJ39" s="144">
        <v>0</v>
      </c>
      <c r="AK39" s="144">
        <v>0</v>
      </c>
      <c r="AL39" s="144">
        <v>207.73120665263201</v>
      </c>
      <c r="AM39" s="144">
        <v>0</v>
      </c>
      <c r="AN39" s="144">
        <v>0</v>
      </c>
      <c r="AO39" s="144">
        <v>0</v>
      </c>
      <c r="AP39" s="144">
        <v>0</v>
      </c>
      <c r="AQ39" s="145">
        <v>0</v>
      </c>
    </row>
    <row r="40" spans="2:43" ht="12" customHeight="1" x14ac:dyDescent="0.3">
      <c r="B40" s="143" t="s">
        <v>40</v>
      </c>
      <c r="C40" s="144" t="s">
        <v>84</v>
      </c>
      <c r="D40" s="144" t="s">
        <v>41</v>
      </c>
      <c r="E40" s="144" t="s">
        <v>85</v>
      </c>
      <c r="F40" s="144" t="s">
        <v>25</v>
      </c>
      <c r="G40" s="144" t="s">
        <v>25</v>
      </c>
      <c r="H40" s="144" t="s">
        <v>67</v>
      </c>
      <c r="I40" s="144" t="s">
        <v>25</v>
      </c>
      <c r="J40" s="144">
        <v>983.68</v>
      </c>
      <c r="K40" s="144">
        <v>212.25</v>
      </c>
      <c r="L40" s="144">
        <v>45.776972628407897</v>
      </c>
      <c r="M40" s="144">
        <v>2.23423008455112</v>
      </c>
      <c r="N40" s="144">
        <v>0</v>
      </c>
      <c r="O40" s="144">
        <v>0</v>
      </c>
      <c r="P40" s="144">
        <v>0</v>
      </c>
      <c r="Q40" s="144">
        <v>74.267887467086396</v>
      </c>
      <c r="R40" s="144">
        <v>12.8876353579208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362.74147321994099</v>
      </c>
      <c r="Y40" s="144">
        <v>0</v>
      </c>
      <c r="Z40" s="144">
        <v>0</v>
      </c>
      <c r="AA40" s="144">
        <v>461.63616880275998</v>
      </c>
      <c r="AB40" s="144">
        <v>0</v>
      </c>
      <c r="AC40" s="144">
        <v>0</v>
      </c>
      <c r="AD40" s="144">
        <v>21.2378608008862</v>
      </c>
      <c r="AE40" s="144">
        <v>0</v>
      </c>
      <c r="AF40" s="144">
        <v>2.90047936715666</v>
      </c>
      <c r="AG40" s="144">
        <v>0</v>
      </c>
      <c r="AH40" s="144">
        <v>0</v>
      </c>
      <c r="AI40" s="144">
        <v>0</v>
      </c>
      <c r="AJ40" s="144">
        <v>0</v>
      </c>
      <c r="AK40" s="144">
        <v>0</v>
      </c>
      <c r="AL40" s="144">
        <v>212.24710244942901</v>
      </c>
      <c r="AM40" s="144">
        <v>0</v>
      </c>
      <c r="AN40" s="144">
        <v>0</v>
      </c>
      <c r="AO40" s="144">
        <v>0</v>
      </c>
      <c r="AP40" s="144">
        <v>0</v>
      </c>
      <c r="AQ40" s="145">
        <v>0</v>
      </c>
    </row>
    <row r="41" spans="2:43" ht="12" customHeight="1" x14ac:dyDescent="0.3">
      <c r="B41" s="143" t="s">
        <v>40</v>
      </c>
      <c r="C41" s="144" t="s">
        <v>84</v>
      </c>
      <c r="D41" s="144" t="s">
        <v>41</v>
      </c>
      <c r="E41" s="144" t="s">
        <v>25</v>
      </c>
      <c r="F41" s="144" t="s">
        <v>25</v>
      </c>
      <c r="G41" s="144" t="s">
        <v>25</v>
      </c>
      <c r="H41" s="144" t="s">
        <v>67</v>
      </c>
      <c r="I41" s="144" t="s">
        <v>25</v>
      </c>
      <c r="J41" s="144">
        <v>983.68</v>
      </c>
      <c r="K41" s="144">
        <v>212.25</v>
      </c>
      <c r="L41" s="144">
        <v>45.776972628407897</v>
      </c>
      <c r="M41" s="144">
        <v>2.23423008455112</v>
      </c>
      <c r="N41" s="144">
        <v>0</v>
      </c>
      <c r="O41" s="144">
        <v>0</v>
      </c>
      <c r="P41" s="144">
        <v>0</v>
      </c>
      <c r="Q41" s="144">
        <v>74.267887467086396</v>
      </c>
      <c r="R41" s="144">
        <v>12.8876353579208</v>
      </c>
      <c r="S41" s="144">
        <v>0</v>
      </c>
      <c r="T41" s="144">
        <v>0</v>
      </c>
      <c r="U41" s="144">
        <v>0</v>
      </c>
      <c r="V41" s="144">
        <v>0</v>
      </c>
      <c r="W41" s="144">
        <v>0</v>
      </c>
      <c r="X41" s="144">
        <v>362.74147321994099</v>
      </c>
      <c r="Y41" s="144">
        <v>0</v>
      </c>
      <c r="Z41" s="144">
        <v>0</v>
      </c>
      <c r="AA41" s="144">
        <v>461.63616880275998</v>
      </c>
      <c r="AB41" s="144">
        <v>0</v>
      </c>
      <c r="AC41" s="144">
        <v>0</v>
      </c>
      <c r="AD41" s="144">
        <v>21.2378608008862</v>
      </c>
      <c r="AE41" s="144">
        <v>0</v>
      </c>
      <c r="AF41" s="144">
        <v>2.90047936715666</v>
      </c>
      <c r="AG41" s="144">
        <v>0</v>
      </c>
      <c r="AH41" s="144">
        <v>0</v>
      </c>
      <c r="AI41" s="144">
        <v>0</v>
      </c>
      <c r="AJ41" s="144">
        <v>0</v>
      </c>
      <c r="AK41" s="144">
        <v>0</v>
      </c>
      <c r="AL41" s="144">
        <v>212.24710244942901</v>
      </c>
      <c r="AM41" s="144">
        <v>0</v>
      </c>
      <c r="AN41" s="144">
        <v>0</v>
      </c>
      <c r="AO41" s="144">
        <v>0</v>
      </c>
      <c r="AP41" s="144">
        <v>0</v>
      </c>
      <c r="AQ41" s="145">
        <v>0</v>
      </c>
    </row>
    <row r="42" spans="2:43" ht="12" customHeight="1" x14ac:dyDescent="0.3">
      <c r="B42" s="143" t="s">
        <v>40</v>
      </c>
      <c r="C42" s="144" t="s">
        <v>84</v>
      </c>
      <c r="D42" s="144" t="s">
        <v>41</v>
      </c>
      <c r="E42" s="144" t="s">
        <v>86</v>
      </c>
      <c r="F42" s="144" t="s">
        <v>25</v>
      </c>
      <c r="G42" s="144" t="s">
        <v>25</v>
      </c>
      <c r="H42" s="144" t="s">
        <v>67</v>
      </c>
      <c r="I42" s="144" t="s">
        <v>25</v>
      </c>
      <c r="J42" s="144">
        <v>962.75</v>
      </c>
      <c r="K42" s="144">
        <v>207.73</v>
      </c>
      <c r="L42" s="144">
        <v>44.802994487377902</v>
      </c>
      <c r="M42" s="144">
        <v>2.1866932742415202</v>
      </c>
      <c r="N42" s="144">
        <v>0</v>
      </c>
      <c r="O42" s="144">
        <v>0</v>
      </c>
      <c r="P42" s="144">
        <v>0</v>
      </c>
      <c r="Q42" s="144">
        <v>72.687719648637696</v>
      </c>
      <c r="R42" s="144">
        <v>12.613430350305499</v>
      </c>
      <c r="S42" s="144">
        <v>0</v>
      </c>
      <c r="T42" s="144">
        <v>0</v>
      </c>
      <c r="U42" s="144">
        <v>0</v>
      </c>
      <c r="V42" s="144">
        <v>0</v>
      </c>
      <c r="W42" s="144">
        <v>0</v>
      </c>
      <c r="X42" s="144">
        <v>355.02356953441</v>
      </c>
      <c r="Y42" s="144">
        <v>0</v>
      </c>
      <c r="Z42" s="144">
        <v>0</v>
      </c>
      <c r="AA42" s="144">
        <v>451.81412265801998</v>
      </c>
      <c r="AB42" s="144">
        <v>0</v>
      </c>
      <c r="AC42" s="144">
        <v>0</v>
      </c>
      <c r="AD42" s="144">
        <v>20.785991422143901</v>
      </c>
      <c r="AE42" s="144">
        <v>0</v>
      </c>
      <c r="AF42" s="144">
        <v>2.8387670401958802</v>
      </c>
      <c r="AG42" s="144">
        <v>0</v>
      </c>
      <c r="AH42" s="144">
        <v>0</v>
      </c>
      <c r="AI42" s="144">
        <v>0</v>
      </c>
      <c r="AJ42" s="144">
        <v>0</v>
      </c>
      <c r="AK42" s="144">
        <v>0</v>
      </c>
      <c r="AL42" s="144">
        <v>207.73120665263201</v>
      </c>
      <c r="AM42" s="144">
        <v>0</v>
      </c>
      <c r="AN42" s="144">
        <v>0</v>
      </c>
      <c r="AO42" s="144">
        <v>0</v>
      </c>
      <c r="AP42" s="144">
        <v>0</v>
      </c>
      <c r="AQ42" s="145">
        <v>0</v>
      </c>
    </row>
    <row r="43" spans="2:43" ht="12" customHeight="1" x14ac:dyDescent="0.3">
      <c r="B43" s="143" t="s">
        <v>33</v>
      </c>
      <c r="C43" s="144" t="s">
        <v>82</v>
      </c>
      <c r="D43" s="144" t="s">
        <v>25</v>
      </c>
      <c r="E43" s="144" t="s">
        <v>25</v>
      </c>
      <c r="F43" s="144" t="s">
        <v>25</v>
      </c>
      <c r="G43" s="144" t="s">
        <v>38</v>
      </c>
      <c r="H43" s="144" t="s">
        <v>67</v>
      </c>
      <c r="I43" s="144" t="s">
        <v>25</v>
      </c>
      <c r="J43" s="144">
        <v>3151.26</v>
      </c>
      <c r="K43" s="144">
        <v>225.79</v>
      </c>
      <c r="L43" s="144">
        <v>48.698907051497798</v>
      </c>
      <c r="M43" s="144">
        <v>2.3768405154799099</v>
      </c>
      <c r="N43" s="144">
        <v>0</v>
      </c>
      <c r="O43" s="144">
        <v>0</v>
      </c>
      <c r="P43" s="144">
        <v>0</v>
      </c>
      <c r="Q43" s="144">
        <v>79.008390922432298</v>
      </c>
      <c r="R43" s="144">
        <v>13.7102503807668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1312.0406789614799</v>
      </c>
      <c r="Y43" s="144">
        <v>0</v>
      </c>
      <c r="Z43" s="144">
        <v>0</v>
      </c>
      <c r="AA43" s="144">
        <v>1669.74788747458</v>
      </c>
      <c r="AB43" s="144">
        <v>0</v>
      </c>
      <c r="AC43" s="144">
        <v>0</v>
      </c>
      <c r="AD43" s="144">
        <v>22.593468937112899</v>
      </c>
      <c r="AE43" s="144">
        <v>0</v>
      </c>
      <c r="AF43" s="144">
        <v>3.0856163480390002</v>
      </c>
      <c r="AG43" s="144">
        <v>0</v>
      </c>
      <c r="AH43" s="144">
        <v>0</v>
      </c>
      <c r="AI43" s="144">
        <v>0</v>
      </c>
      <c r="AJ43" s="144">
        <v>0</v>
      </c>
      <c r="AK43" s="144">
        <v>0</v>
      </c>
      <c r="AL43" s="144">
        <v>225.79478983981801</v>
      </c>
      <c r="AM43" s="144">
        <v>0</v>
      </c>
      <c r="AN43" s="144">
        <v>0</v>
      </c>
      <c r="AO43" s="144">
        <v>0</v>
      </c>
      <c r="AP43" s="144">
        <v>0</v>
      </c>
      <c r="AQ43" s="145">
        <v>0</v>
      </c>
    </row>
    <row r="44" spans="2:43" ht="12" customHeight="1" x14ac:dyDescent="0.3">
      <c r="B44" s="143" t="s">
        <v>33</v>
      </c>
      <c r="C44" s="144" t="s">
        <v>82</v>
      </c>
      <c r="D44" s="144" t="s">
        <v>25</v>
      </c>
      <c r="E44" s="144" t="s">
        <v>25</v>
      </c>
      <c r="F44" s="144" t="s">
        <v>25</v>
      </c>
      <c r="G44" s="144" t="s">
        <v>493</v>
      </c>
      <c r="H44" s="144" t="s">
        <v>67</v>
      </c>
      <c r="I44" s="144" t="s">
        <v>25</v>
      </c>
      <c r="J44" s="144">
        <v>1958.55</v>
      </c>
      <c r="K44" s="144">
        <v>225.79</v>
      </c>
      <c r="L44" s="144">
        <v>48.698907051497798</v>
      </c>
      <c r="M44" s="144">
        <v>2.3768405154799099</v>
      </c>
      <c r="N44" s="144">
        <v>0</v>
      </c>
      <c r="O44" s="144">
        <v>0</v>
      </c>
      <c r="P44" s="144">
        <v>0</v>
      </c>
      <c r="Q44" s="144">
        <v>79.008390922432298</v>
      </c>
      <c r="R44" s="144">
        <v>13.7102503807668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787.22534938658498</v>
      </c>
      <c r="Y44" s="144">
        <v>0</v>
      </c>
      <c r="Z44" s="144">
        <v>0</v>
      </c>
      <c r="AA44" s="144">
        <v>1001.84862531261</v>
      </c>
      <c r="AB44" s="144">
        <v>0</v>
      </c>
      <c r="AC44" s="144">
        <v>0</v>
      </c>
      <c r="AD44" s="144">
        <v>22.593468937112899</v>
      </c>
      <c r="AE44" s="144">
        <v>0</v>
      </c>
      <c r="AF44" s="144">
        <v>3.0856163480390002</v>
      </c>
      <c r="AG44" s="144">
        <v>0</v>
      </c>
      <c r="AH44" s="144">
        <v>0</v>
      </c>
      <c r="AI44" s="144">
        <v>0</v>
      </c>
      <c r="AJ44" s="144">
        <v>0</v>
      </c>
      <c r="AK44" s="144">
        <v>0</v>
      </c>
      <c r="AL44" s="144">
        <v>225.79478983981801</v>
      </c>
      <c r="AM44" s="144">
        <v>0</v>
      </c>
      <c r="AN44" s="144">
        <v>0</v>
      </c>
      <c r="AO44" s="144">
        <v>0</v>
      </c>
      <c r="AP44" s="144">
        <v>0</v>
      </c>
      <c r="AQ44" s="145">
        <v>0</v>
      </c>
    </row>
    <row r="45" spans="2:43" ht="12" customHeight="1" x14ac:dyDescent="0.3">
      <c r="B45" s="143" t="s">
        <v>33</v>
      </c>
      <c r="C45" s="144" t="s">
        <v>82</v>
      </c>
      <c r="D45" s="144" t="s">
        <v>25</v>
      </c>
      <c r="E45" s="144" t="s">
        <v>25</v>
      </c>
      <c r="F45" s="144" t="s">
        <v>25</v>
      </c>
      <c r="G45" s="144" t="s">
        <v>39</v>
      </c>
      <c r="H45" s="144" t="s">
        <v>67</v>
      </c>
      <c r="I45" s="144" t="s">
        <v>25</v>
      </c>
      <c r="J45" s="144">
        <v>765.83</v>
      </c>
      <c r="K45" s="144">
        <v>225.79</v>
      </c>
      <c r="L45" s="144">
        <v>48.698907051497798</v>
      </c>
      <c r="M45" s="144">
        <v>2.3768405154799099</v>
      </c>
      <c r="N45" s="144">
        <v>0</v>
      </c>
      <c r="O45" s="144">
        <v>0</v>
      </c>
      <c r="P45" s="144">
        <v>0</v>
      </c>
      <c r="Q45" s="144">
        <v>79.008390922432298</v>
      </c>
      <c r="R45" s="144">
        <v>13.7102503807668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262.41001981169097</v>
      </c>
      <c r="Y45" s="144">
        <v>0</v>
      </c>
      <c r="Z45" s="144">
        <v>0</v>
      </c>
      <c r="AA45" s="144">
        <v>333.94957749491698</v>
      </c>
      <c r="AB45" s="144">
        <v>0</v>
      </c>
      <c r="AC45" s="144">
        <v>0</v>
      </c>
      <c r="AD45" s="144">
        <v>22.593468937112899</v>
      </c>
      <c r="AE45" s="144">
        <v>0</v>
      </c>
      <c r="AF45" s="144">
        <v>3.0856163480390002</v>
      </c>
      <c r="AG45" s="144">
        <v>0</v>
      </c>
      <c r="AH45" s="144">
        <v>0</v>
      </c>
      <c r="AI45" s="144">
        <v>0</v>
      </c>
      <c r="AJ45" s="144">
        <v>0</v>
      </c>
      <c r="AK45" s="144">
        <v>0</v>
      </c>
      <c r="AL45" s="144">
        <v>225.79478983981801</v>
      </c>
      <c r="AM45" s="144">
        <v>0</v>
      </c>
      <c r="AN45" s="144">
        <v>0</v>
      </c>
      <c r="AO45" s="144">
        <v>0</v>
      </c>
      <c r="AP45" s="144">
        <v>0</v>
      </c>
      <c r="AQ45" s="145">
        <v>0</v>
      </c>
    </row>
    <row r="46" spans="2:43" ht="12" customHeight="1" x14ac:dyDescent="0.3">
      <c r="B46" s="143" t="s">
        <v>33</v>
      </c>
      <c r="C46" s="144" t="s">
        <v>23</v>
      </c>
      <c r="D46" s="144" t="s">
        <v>25</v>
      </c>
      <c r="E46" s="144" t="s">
        <v>25</v>
      </c>
      <c r="F46" s="144" t="s">
        <v>25</v>
      </c>
      <c r="G46" s="144" t="s">
        <v>25</v>
      </c>
      <c r="H46" s="144" t="s">
        <v>67</v>
      </c>
      <c r="I46" s="144" t="s">
        <v>25</v>
      </c>
      <c r="J46" s="144">
        <v>1046.47</v>
      </c>
      <c r="K46" s="144">
        <v>225.79</v>
      </c>
      <c r="L46" s="144">
        <v>48.698907051497798</v>
      </c>
      <c r="M46" s="144">
        <v>2.3768405154799099</v>
      </c>
      <c r="N46" s="144">
        <v>0</v>
      </c>
      <c r="O46" s="144">
        <v>0</v>
      </c>
      <c r="P46" s="144">
        <v>0</v>
      </c>
      <c r="Q46" s="144">
        <v>79.008390922432298</v>
      </c>
      <c r="R46" s="144">
        <v>13.7102503807668</v>
      </c>
      <c r="S46" s="144">
        <v>0</v>
      </c>
      <c r="T46" s="144">
        <v>0</v>
      </c>
      <c r="U46" s="144">
        <v>0</v>
      </c>
      <c r="V46" s="144">
        <v>0</v>
      </c>
      <c r="W46" s="144">
        <v>0</v>
      </c>
      <c r="X46" s="144">
        <v>385.89518427653297</v>
      </c>
      <c r="Y46" s="144">
        <v>0</v>
      </c>
      <c r="Z46" s="144">
        <v>0</v>
      </c>
      <c r="AA46" s="144">
        <v>491.10230723697902</v>
      </c>
      <c r="AB46" s="144">
        <v>0</v>
      </c>
      <c r="AC46" s="144">
        <v>0</v>
      </c>
      <c r="AD46" s="144">
        <v>22.593468937112899</v>
      </c>
      <c r="AE46" s="144">
        <v>0</v>
      </c>
      <c r="AF46" s="144">
        <v>3.0856163480390002</v>
      </c>
      <c r="AG46" s="144">
        <v>0</v>
      </c>
      <c r="AH46" s="144">
        <v>0</v>
      </c>
      <c r="AI46" s="144">
        <v>0</v>
      </c>
      <c r="AJ46" s="144">
        <v>0</v>
      </c>
      <c r="AK46" s="144">
        <v>0</v>
      </c>
      <c r="AL46" s="144">
        <v>225.79478983981801</v>
      </c>
      <c r="AM46" s="144">
        <v>0</v>
      </c>
      <c r="AN46" s="144">
        <v>0</v>
      </c>
      <c r="AO46" s="144">
        <v>0</v>
      </c>
      <c r="AP46" s="144">
        <v>0</v>
      </c>
      <c r="AQ46" s="145">
        <v>0</v>
      </c>
    </row>
    <row r="47" spans="2:43" ht="12" customHeight="1" x14ac:dyDescent="0.3">
      <c r="B47" s="143" t="s">
        <v>33</v>
      </c>
      <c r="C47" s="144" t="s">
        <v>84</v>
      </c>
      <c r="D47" s="144" t="s">
        <v>25</v>
      </c>
      <c r="E47" s="144" t="s">
        <v>25</v>
      </c>
      <c r="F47" s="144" t="s">
        <v>25</v>
      </c>
      <c r="G47" s="144" t="s">
        <v>25</v>
      </c>
      <c r="H47" s="144" t="s">
        <v>67</v>
      </c>
      <c r="I47" s="144" t="s">
        <v>25</v>
      </c>
      <c r="J47" s="144">
        <v>1046.47</v>
      </c>
      <c r="K47" s="144">
        <v>225.79</v>
      </c>
      <c r="L47" s="144">
        <v>48.698907051497798</v>
      </c>
      <c r="M47" s="144">
        <v>2.3768405154799099</v>
      </c>
      <c r="N47" s="144">
        <v>0</v>
      </c>
      <c r="O47" s="144">
        <v>0</v>
      </c>
      <c r="P47" s="144">
        <v>0</v>
      </c>
      <c r="Q47" s="144">
        <v>79.008390922432298</v>
      </c>
      <c r="R47" s="144">
        <v>13.7102503807668</v>
      </c>
      <c r="S47" s="144">
        <v>0</v>
      </c>
      <c r="T47" s="144">
        <v>0</v>
      </c>
      <c r="U47" s="144">
        <v>0</v>
      </c>
      <c r="V47" s="144">
        <v>0</v>
      </c>
      <c r="W47" s="144">
        <v>0</v>
      </c>
      <c r="X47" s="144">
        <v>385.89518427653297</v>
      </c>
      <c r="Y47" s="144">
        <v>0</v>
      </c>
      <c r="Z47" s="144">
        <v>0</v>
      </c>
      <c r="AA47" s="144">
        <v>491.10230723697902</v>
      </c>
      <c r="AB47" s="144">
        <v>0</v>
      </c>
      <c r="AC47" s="144">
        <v>0</v>
      </c>
      <c r="AD47" s="144">
        <v>22.593468937112899</v>
      </c>
      <c r="AE47" s="144">
        <v>0</v>
      </c>
      <c r="AF47" s="144">
        <v>3.0856163480390002</v>
      </c>
      <c r="AG47" s="144">
        <v>0</v>
      </c>
      <c r="AH47" s="144">
        <v>0</v>
      </c>
      <c r="AI47" s="144">
        <v>0</v>
      </c>
      <c r="AJ47" s="144">
        <v>0</v>
      </c>
      <c r="AK47" s="144">
        <v>0</v>
      </c>
      <c r="AL47" s="144">
        <v>225.79478983981801</v>
      </c>
      <c r="AM47" s="144">
        <v>0</v>
      </c>
      <c r="AN47" s="144">
        <v>0</v>
      </c>
      <c r="AO47" s="144">
        <v>0</v>
      </c>
      <c r="AP47" s="144">
        <v>0</v>
      </c>
      <c r="AQ47" s="145">
        <v>0</v>
      </c>
    </row>
    <row r="48" spans="2:43" ht="12" customHeight="1" x14ac:dyDescent="0.3">
      <c r="B48" s="143" t="s">
        <v>43</v>
      </c>
      <c r="C48" s="144" t="s">
        <v>23</v>
      </c>
      <c r="D48" s="144" t="s">
        <v>44</v>
      </c>
      <c r="E48" s="144" t="s">
        <v>45</v>
      </c>
      <c r="F48" s="144" t="s">
        <v>25</v>
      </c>
      <c r="G48" s="144" t="s">
        <v>25</v>
      </c>
      <c r="H48" s="144" t="s">
        <v>67</v>
      </c>
      <c r="I48" s="144" t="s">
        <v>25</v>
      </c>
      <c r="J48" s="144">
        <v>554.63</v>
      </c>
      <c r="K48" s="144">
        <v>119.67</v>
      </c>
      <c r="L48" s="144">
        <v>25.8104207372938</v>
      </c>
      <c r="M48" s="144">
        <v>1.2597254732043599</v>
      </c>
      <c r="N48" s="144">
        <v>0</v>
      </c>
      <c r="O48" s="144">
        <v>0</v>
      </c>
      <c r="P48" s="144">
        <v>0</v>
      </c>
      <c r="Q48" s="144">
        <v>41.8744471888891</v>
      </c>
      <c r="R48" s="144">
        <v>7.2664327018064201</v>
      </c>
      <c r="S48" s="144">
        <v>0</v>
      </c>
      <c r="T48" s="144">
        <v>0</v>
      </c>
      <c r="U48" s="144">
        <v>0</v>
      </c>
      <c r="V48" s="144">
        <v>0</v>
      </c>
      <c r="W48" s="144">
        <v>0</v>
      </c>
      <c r="X48" s="144">
        <v>204.524447666562</v>
      </c>
      <c r="Y48" s="144">
        <v>0</v>
      </c>
      <c r="Z48" s="144">
        <v>0</v>
      </c>
      <c r="AA48" s="144">
        <v>260.284222835599</v>
      </c>
      <c r="AB48" s="144">
        <v>0</v>
      </c>
      <c r="AC48" s="144">
        <v>0</v>
      </c>
      <c r="AD48" s="144">
        <v>11.9745385366699</v>
      </c>
      <c r="AE48" s="144">
        <v>0</v>
      </c>
      <c r="AF48" s="144">
        <v>1.63537666446067</v>
      </c>
      <c r="AG48" s="144">
        <v>0</v>
      </c>
      <c r="AH48" s="144">
        <v>0</v>
      </c>
      <c r="AI48" s="144">
        <v>0</v>
      </c>
      <c r="AJ48" s="144">
        <v>0</v>
      </c>
      <c r="AK48" s="144">
        <v>0</v>
      </c>
      <c r="AL48" s="144">
        <v>119.67123861510299</v>
      </c>
      <c r="AM48" s="144">
        <v>0</v>
      </c>
      <c r="AN48" s="144">
        <v>0</v>
      </c>
      <c r="AO48" s="144">
        <v>0</v>
      </c>
      <c r="AP48" s="144">
        <v>0</v>
      </c>
      <c r="AQ48" s="145">
        <v>0</v>
      </c>
    </row>
    <row r="49" spans="2:43" ht="12" customHeight="1" x14ac:dyDescent="0.3">
      <c r="B49" s="146" t="s">
        <v>43</v>
      </c>
      <c r="C49" s="147" t="s">
        <v>23</v>
      </c>
      <c r="D49" s="147" t="s">
        <v>44</v>
      </c>
      <c r="E49" s="147" t="s">
        <v>87</v>
      </c>
      <c r="F49" s="147" t="s">
        <v>25</v>
      </c>
      <c r="G49" s="147" t="s">
        <v>25</v>
      </c>
      <c r="H49" s="147" t="s">
        <v>67</v>
      </c>
      <c r="I49" s="147" t="s">
        <v>25</v>
      </c>
      <c r="J49" s="147">
        <v>606.95000000000005</v>
      </c>
      <c r="K49" s="147">
        <v>130.96</v>
      </c>
      <c r="L49" s="147">
        <v>28.2453660898687</v>
      </c>
      <c r="M49" s="147">
        <v>1.3785674989783501</v>
      </c>
      <c r="N49" s="147">
        <v>0</v>
      </c>
      <c r="O49" s="147">
        <v>0</v>
      </c>
      <c r="P49" s="147">
        <v>0</v>
      </c>
      <c r="Q49" s="147">
        <v>45.824866735010701</v>
      </c>
      <c r="R49" s="147">
        <v>7.9519452208447596</v>
      </c>
      <c r="S49" s="147">
        <v>0</v>
      </c>
      <c r="T49" s="147">
        <v>0</v>
      </c>
      <c r="U49" s="147">
        <v>0</v>
      </c>
      <c r="V49" s="147">
        <v>0</v>
      </c>
      <c r="W49" s="147">
        <v>0</v>
      </c>
      <c r="X49" s="147">
        <v>223.819206880389</v>
      </c>
      <c r="Y49" s="147">
        <v>0</v>
      </c>
      <c r="Z49" s="147">
        <v>0</v>
      </c>
      <c r="AA49" s="147">
        <v>284.839338197448</v>
      </c>
      <c r="AB49" s="147">
        <v>0</v>
      </c>
      <c r="AC49" s="147">
        <v>0</v>
      </c>
      <c r="AD49" s="147">
        <v>13.1042119835255</v>
      </c>
      <c r="AE49" s="147">
        <v>0</v>
      </c>
      <c r="AF49" s="147">
        <v>1.7896574818626201</v>
      </c>
      <c r="AG49" s="147">
        <v>0</v>
      </c>
      <c r="AH49" s="147">
        <v>0</v>
      </c>
      <c r="AI49" s="147">
        <v>0</v>
      </c>
      <c r="AJ49" s="147">
        <v>0</v>
      </c>
      <c r="AK49" s="147">
        <v>0</v>
      </c>
      <c r="AL49" s="147">
        <v>130.96097810709401</v>
      </c>
      <c r="AM49" s="147">
        <v>0</v>
      </c>
      <c r="AN49" s="147">
        <v>0</v>
      </c>
      <c r="AO49" s="147">
        <v>0</v>
      </c>
      <c r="AP49" s="147">
        <v>0</v>
      </c>
      <c r="AQ49" s="148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44E-C789-477B-AEBB-DFBD66CAC658}">
  <dimension ref="B1:AQ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9" t="s">
        <v>1020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1021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3">
      <c r="L2" s="151" t="s">
        <v>348</v>
      </c>
      <c r="M2" s="151"/>
      <c r="N2" s="151"/>
      <c r="O2" s="151"/>
      <c r="P2" s="151"/>
      <c r="Q2" s="151"/>
      <c r="R2" s="151"/>
      <c r="S2" s="152"/>
      <c r="T2" s="151" t="s">
        <v>357</v>
      </c>
      <c r="U2" s="151"/>
      <c r="V2" s="151"/>
      <c r="W2" s="151"/>
      <c r="X2" s="151"/>
      <c r="Y2" s="151"/>
      <c r="Z2" s="152"/>
      <c r="AA2" s="153" t="s">
        <v>365</v>
      </c>
      <c r="AB2" s="151" t="s">
        <v>25</v>
      </c>
      <c r="AC2" s="152"/>
      <c r="AD2" s="151" t="s">
        <v>1019</v>
      </c>
      <c r="AE2" s="151"/>
      <c r="AF2" s="151"/>
      <c r="AG2" s="152"/>
      <c r="AH2" s="151" t="s">
        <v>348</v>
      </c>
      <c r="AI2" s="151"/>
      <c r="AJ2" s="151"/>
      <c r="AK2" s="152"/>
      <c r="AL2" s="153" t="s">
        <v>378</v>
      </c>
      <c r="AM2" s="151" t="s">
        <v>357</v>
      </c>
      <c r="AN2" s="151"/>
      <c r="AO2" s="151"/>
      <c r="AP2" s="152"/>
      <c r="AQ2" s="154" t="s">
        <v>1019</v>
      </c>
    </row>
    <row r="3" spans="2:43" ht="12" customHeight="1" x14ac:dyDescent="0.3">
      <c r="B3" s="140" t="s">
        <v>57</v>
      </c>
      <c r="C3" s="141" t="s">
        <v>58</v>
      </c>
      <c r="D3" s="141" t="s">
        <v>59</v>
      </c>
      <c r="E3" s="141" t="s">
        <v>60</v>
      </c>
      <c r="F3" s="141" t="s">
        <v>61</v>
      </c>
      <c r="G3" s="141" t="s">
        <v>63</v>
      </c>
      <c r="H3" s="141" t="s">
        <v>64</v>
      </c>
      <c r="I3" s="141" t="s">
        <v>625</v>
      </c>
      <c r="J3" s="141" t="s">
        <v>984</v>
      </c>
      <c r="K3" s="141" t="s">
        <v>985</v>
      </c>
      <c r="L3" s="141" t="s">
        <v>986</v>
      </c>
      <c r="M3" s="141" t="s">
        <v>987</v>
      </c>
      <c r="N3" s="141" t="s">
        <v>988</v>
      </c>
      <c r="O3" s="141" t="s">
        <v>989</v>
      </c>
      <c r="P3" s="141" t="s">
        <v>990</v>
      </c>
      <c r="Q3" s="141" t="s">
        <v>991</v>
      </c>
      <c r="R3" s="141" t="s">
        <v>992</v>
      </c>
      <c r="S3" s="141" t="s">
        <v>993</v>
      </c>
      <c r="T3" s="141" t="s">
        <v>994</v>
      </c>
      <c r="U3" s="141" t="s">
        <v>995</v>
      </c>
      <c r="V3" s="141" t="s">
        <v>996</v>
      </c>
      <c r="W3" s="141" t="s">
        <v>997</v>
      </c>
      <c r="X3" s="141" t="s">
        <v>998</v>
      </c>
      <c r="Y3" s="141" t="s">
        <v>999</v>
      </c>
      <c r="Z3" s="141" t="s">
        <v>1000</v>
      </c>
      <c r="AA3" s="141" t="s">
        <v>1001</v>
      </c>
      <c r="AB3" s="141" t="s">
        <v>1002</v>
      </c>
      <c r="AC3" s="141" t="s">
        <v>1003</v>
      </c>
      <c r="AD3" s="141" t="s">
        <v>1004</v>
      </c>
      <c r="AE3" s="141" t="s">
        <v>1005</v>
      </c>
      <c r="AF3" s="141" t="s">
        <v>1006</v>
      </c>
      <c r="AG3" s="141" t="s">
        <v>1007</v>
      </c>
      <c r="AH3" s="141" t="s">
        <v>1008</v>
      </c>
      <c r="AI3" s="141" t="s">
        <v>1009</v>
      </c>
      <c r="AJ3" s="141" t="s">
        <v>1010</v>
      </c>
      <c r="AK3" s="141" t="s">
        <v>1011</v>
      </c>
      <c r="AL3" s="141" t="s">
        <v>1012</v>
      </c>
      <c r="AM3" s="141" t="s">
        <v>1013</v>
      </c>
      <c r="AN3" s="141" t="s">
        <v>1014</v>
      </c>
      <c r="AO3" s="141" t="s">
        <v>1015</v>
      </c>
      <c r="AP3" s="141" t="s">
        <v>1016</v>
      </c>
      <c r="AQ3" s="142" t="s">
        <v>1017</v>
      </c>
    </row>
    <row r="4" spans="2:43" ht="12" customHeight="1" x14ac:dyDescent="0.3">
      <c r="B4" s="143" t="s">
        <v>36</v>
      </c>
      <c r="C4" s="144" t="s">
        <v>70</v>
      </c>
      <c r="D4" s="144" t="s">
        <v>25</v>
      </c>
      <c r="E4" s="144" t="s">
        <v>25</v>
      </c>
      <c r="F4" s="144" t="s">
        <v>75</v>
      </c>
      <c r="G4" s="144" t="s">
        <v>38</v>
      </c>
      <c r="H4" s="144" t="s">
        <v>67</v>
      </c>
      <c r="I4" s="144" t="s">
        <v>25</v>
      </c>
      <c r="J4" s="144">
        <v>12.26</v>
      </c>
      <c r="K4" s="144">
        <v>0</v>
      </c>
      <c r="L4" s="144">
        <v>0</v>
      </c>
      <c r="M4" s="144">
        <v>1.8955019117716401</v>
      </c>
      <c r="N4" s="144">
        <v>0</v>
      </c>
      <c r="O4" s="144">
        <v>0</v>
      </c>
      <c r="P4" s="144">
        <v>0</v>
      </c>
      <c r="Q4" s="144">
        <v>0</v>
      </c>
      <c r="R4" s="144">
        <v>0</v>
      </c>
      <c r="S4" s="144">
        <v>0</v>
      </c>
      <c r="T4" s="144">
        <v>0</v>
      </c>
      <c r="U4" s="144">
        <v>0</v>
      </c>
      <c r="V4" s="144">
        <v>0</v>
      </c>
      <c r="W4" s="144">
        <v>0</v>
      </c>
      <c r="X4" s="144">
        <v>0</v>
      </c>
      <c r="Y4" s="144">
        <v>0</v>
      </c>
      <c r="Z4" s="144">
        <v>0</v>
      </c>
      <c r="AA4" s="144">
        <v>0</v>
      </c>
      <c r="AB4" s="144">
        <v>0</v>
      </c>
      <c r="AC4" s="144">
        <v>0</v>
      </c>
      <c r="AD4" s="144">
        <v>8.4400170909430798</v>
      </c>
      <c r="AE4" s="144">
        <v>0</v>
      </c>
      <c r="AF4" s="144">
        <v>1.91995868369998</v>
      </c>
      <c r="AG4" s="144">
        <v>0</v>
      </c>
      <c r="AH4" s="144">
        <v>0</v>
      </c>
      <c r="AI4" s="144">
        <v>0</v>
      </c>
      <c r="AJ4" s="144">
        <v>0</v>
      </c>
      <c r="AK4" s="144">
        <v>0</v>
      </c>
      <c r="AL4" s="144">
        <v>0</v>
      </c>
      <c r="AM4" s="144">
        <v>0</v>
      </c>
      <c r="AN4" s="144">
        <v>0</v>
      </c>
      <c r="AO4" s="144">
        <v>0</v>
      </c>
      <c r="AP4" s="144">
        <v>0</v>
      </c>
      <c r="AQ4" s="145">
        <v>0</v>
      </c>
    </row>
    <row r="5" spans="2:43" ht="12" customHeight="1" x14ac:dyDescent="0.3">
      <c r="B5" s="143" t="s">
        <v>36</v>
      </c>
      <c r="C5" s="144" t="s">
        <v>70</v>
      </c>
      <c r="D5" s="144" t="s">
        <v>25</v>
      </c>
      <c r="E5" s="144" t="s">
        <v>25</v>
      </c>
      <c r="F5" s="144" t="s">
        <v>75</v>
      </c>
      <c r="G5" s="144" t="s">
        <v>38</v>
      </c>
      <c r="H5" s="144" t="s">
        <v>71</v>
      </c>
      <c r="I5" s="144" t="s">
        <v>25</v>
      </c>
      <c r="J5" s="144">
        <v>178.75</v>
      </c>
      <c r="K5" s="144">
        <v>0</v>
      </c>
      <c r="L5" s="144">
        <v>0</v>
      </c>
      <c r="M5" s="144">
        <v>0</v>
      </c>
      <c r="N5" s="144">
        <v>0</v>
      </c>
      <c r="O5" s="144">
        <v>0</v>
      </c>
      <c r="P5" s="144">
        <v>0</v>
      </c>
      <c r="Q5" s="144">
        <v>0</v>
      </c>
      <c r="R5" s="144">
        <v>0</v>
      </c>
      <c r="S5" s="144">
        <v>0</v>
      </c>
      <c r="T5" s="144">
        <v>0</v>
      </c>
      <c r="U5" s="144">
        <v>0</v>
      </c>
      <c r="V5" s="144">
        <v>0</v>
      </c>
      <c r="W5" s="144">
        <v>0</v>
      </c>
      <c r="X5" s="144">
        <v>67.401123474166397</v>
      </c>
      <c r="Y5" s="144">
        <v>0</v>
      </c>
      <c r="Z5" s="144">
        <v>0</v>
      </c>
      <c r="AA5" s="144">
        <v>111.35144981214999</v>
      </c>
      <c r="AB5" s="144">
        <v>0</v>
      </c>
      <c r="AC5" s="144">
        <v>0</v>
      </c>
      <c r="AD5" s="144">
        <v>0</v>
      </c>
      <c r="AE5" s="144">
        <v>0</v>
      </c>
      <c r="AF5" s="144">
        <v>0</v>
      </c>
      <c r="AG5" s="144">
        <v>0</v>
      </c>
      <c r="AH5" s="144">
        <v>0</v>
      </c>
      <c r="AI5" s="144">
        <v>0</v>
      </c>
      <c r="AJ5" s="144">
        <v>0</v>
      </c>
      <c r="AK5" s="144">
        <v>0</v>
      </c>
      <c r="AL5" s="144">
        <v>0</v>
      </c>
      <c r="AM5" s="144">
        <v>0</v>
      </c>
      <c r="AN5" s="144">
        <v>0</v>
      </c>
      <c r="AO5" s="144">
        <v>0</v>
      </c>
      <c r="AP5" s="144">
        <v>0</v>
      </c>
      <c r="AQ5" s="145">
        <v>0</v>
      </c>
    </row>
    <row r="6" spans="2:43" ht="12" customHeight="1" x14ac:dyDescent="0.3">
      <c r="B6" s="143" t="s">
        <v>36</v>
      </c>
      <c r="C6" s="144" t="s">
        <v>70</v>
      </c>
      <c r="D6" s="144" t="s">
        <v>25</v>
      </c>
      <c r="E6" s="144" t="s">
        <v>25</v>
      </c>
      <c r="F6" s="144" t="s">
        <v>75</v>
      </c>
      <c r="G6" s="144" t="s">
        <v>39</v>
      </c>
      <c r="H6" s="144" t="s">
        <v>67</v>
      </c>
      <c r="I6" s="144" t="s">
        <v>25</v>
      </c>
      <c r="J6" s="144">
        <v>12.26</v>
      </c>
      <c r="K6" s="144">
        <v>0</v>
      </c>
      <c r="L6" s="144">
        <v>0</v>
      </c>
      <c r="M6" s="144">
        <v>1.8955019117716401</v>
      </c>
      <c r="N6" s="144">
        <v>0</v>
      </c>
      <c r="O6" s="144">
        <v>0</v>
      </c>
      <c r="P6" s="144">
        <v>0</v>
      </c>
      <c r="Q6" s="144">
        <v>0</v>
      </c>
      <c r="R6" s="144">
        <v>0</v>
      </c>
      <c r="S6" s="144">
        <v>0</v>
      </c>
      <c r="T6" s="144">
        <v>0</v>
      </c>
      <c r="U6" s="144">
        <v>0</v>
      </c>
      <c r="V6" s="144">
        <v>0</v>
      </c>
      <c r="W6" s="144">
        <v>0</v>
      </c>
      <c r="X6" s="144">
        <v>0</v>
      </c>
      <c r="Y6" s="144">
        <v>0</v>
      </c>
      <c r="Z6" s="144">
        <v>0</v>
      </c>
      <c r="AA6" s="144">
        <v>0</v>
      </c>
      <c r="AB6" s="144">
        <v>0</v>
      </c>
      <c r="AC6" s="144">
        <v>0</v>
      </c>
      <c r="AD6" s="144">
        <v>8.4400170909430798</v>
      </c>
      <c r="AE6" s="144">
        <v>0</v>
      </c>
      <c r="AF6" s="144">
        <v>1.91995868369998</v>
      </c>
      <c r="AG6" s="144">
        <v>0</v>
      </c>
      <c r="AH6" s="144">
        <v>0</v>
      </c>
      <c r="AI6" s="144">
        <v>0</v>
      </c>
      <c r="AJ6" s="144">
        <v>0</v>
      </c>
      <c r="AK6" s="144">
        <v>0</v>
      </c>
      <c r="AL6" s="144">
        <v>0</v>
      </c>
      <c r="AM6" s="144">
        <v>0</v>
      </c>
      <c r="AN6" s="144">
        <v>0</v>
      </c>
      <c r="AO6" s="144">
        <v>0</v>
      </c>
      <c r="AP6" s="144">
        <v>0</v>
      </c>
      <c r="AQ6" s="145">
        <v>0</v>
      </c>
    </row>
    <row r="7" spans="2:43" ht="12" customHeight="1" x14ac:dyDescent="0.3">
      <c r="B7" s="143" t="s">
        <v>36</v>
      </c>
      <c r="C7" s="144" t="s">
        <v>70</v>
      </c>
      <c r="D7" s="144" t="s">
        <v>25</v>
      </c>
      <c r="E7" s="144" t="s">
        <v>25</v>
      </c>
      <c r="F7" s="144" t="s">
        <v>75</v>
      </c>
      <c r="G7" s="144" t="s">
        <v>39</v>
      </c>
      <c r="H7" s="144" t="s">
        <v>71</v>
      </c>
      <c r="I7" s="144" t="s">
        <v>25</v>
      </c>
      <c r="J7" s="144">
        <v>63.23</v>
      </c>
      <c r="K7" s="144">
        <v>0</v>
      </c>
      <c r="L7" s="144">
        <v>0</v>
      </c>
      <c r="M7" s="144">
        <v>0</v>
      </c>
      <c r="N7" s="144">
        <v>0</v>
      </c>
      <c r="O7" s="144">
        <v>0</v>
      </c>
      <c r="P7" s="144">
        <v>0</v>
      </c>
      <c r="Q7" s="144">
        <v>0</v>
      </c>
      <c r="R7" s="144">
        <v>0</v>
      </c>
      <c r="S7" s="144">
        <v>0</v>
      </c>
      <c r="T7" s="144">
        <v>0</v>
      </c>
      <c r="U7" s="144">
        <v>0</v>
      </c>
      <c r="V7" s="144">
        <v>0</v>
      </c>
      <c r="W7" s="144">
        <v>0</v>
      </c>
      <c r="X7" s="144">
        <v>22.310368684383199</v>
      </c>
      <c r="Y7" s="144">
        <v>0</v>
      </c>
      <c r="Z7" s="144">
        <v>0</v>
      </c>
      <c r="AA7" s="144">
        <v>40.924278607235898</v>
      </c>
      <c r="AB7" s="144">
        <v>0</v>
      </c>
      <c r="AC7" s="144">
        <v>0</v>
      </c>
      <c r="AD7" s="144">
        <v>0</v>
      </c>
      <c r="AE7" s="144">
        <v>0</v>
      </c>
      <c r="AF7" s="144">
        <v>0</v>
      </c>
      <c r="AG7" s="144">
        <v>0</v>
      </c>
      <c r="AH7" s="144">
        <v>0</v>
      </c>
      <c r="AI7" s="144">
        <v>0</v>
      </c>
      <c r="AJ7" s="144">
        <v>0</v>
      </c>
      <c r="AK7" s="144">
        <v>0</v>
      </c>
      <c r="AL7" s="144">
        <v>0</v>
      </c>
      <c r="AM7" s="144">
        <v>0</v>
      </c>
      <c r="AN7" s="144">
        <v>0</v>
      </c>
      <c r="AO7" s="144">
        <v>0</v>
      </c>
      <c r="AP7" s="144">
        <v>0</v>
      </c>
      <c r="AQ7" s="145">
        <v>0</v>
      </c>
    </row>
    <row r="8" spans="2:43" ht="12" customHeight="1" x14ac:dyDescent="0.3">
      <c r="B8" s="143" t="s">
        <v>36</v>
      </c>
      <c r="C8" s="144" t="s">
        <v>70</v>
      </c>
      <c r="D8" s="144" t="s">
        <v>25</v>
      </c>
      <c r="E8" s="144" t="s">
        <v>25</v>
      </c>
      <c r="F8" s="144" t="s">
        <v>25</v>
      </c>
      <c r="G8" s="144" t="s">
        <v>38</v>
      </c>
      <c r="H8" s="144" t="s">
        <v>67</v>
      </c>
      <c r="I8" s="144" t="s">
        <v>25</v>
      </c>
      <c r="J8" s="144">
        <v>140.18</v>
      </c>
      <c r="K8" s="144">
        <v>182.45</v>
      </c>
      <c r="L8" s="144">
        <v>40.907081923258097</v>
      </c>
      <c r="M8" s="144">
        <v>1.8955019117716401</v>
      </c>
      <c r="N8" s="144">
        <v>0</v>
      </c>
      <c r="O8" s="144">
        <v>0</v>
      </c>
      <c r="P8" s="144">
        <v>0</v>
      </c>
      <c r="Q8" s="144">
        <v>72.668271341879603</v>
      </c>
      <c r="R8" s="144">
        <v>14.354023406416101</v>
      </c>
      <c r="S8" s="144">
        <v>0</v>
      </c>
      <c r="T8" s="144">
        <v>0</v>
      </c>
      <c r="U8" s="144">
        <v>0</v>
      </c>
      <c r="V8" s="144">
        <v>0</v>
      </c>
      <c r="W8" s="144">
        <v>0</v>
      </c>
      <c r="X8" s="144">
        <v>0</v>
      </c>
      <c r="Y8" s="144">
        <v>0</v>
      </c>
      <c r="Z8" s="144">
        <v>0</v>
      </c>
      <c r="AA8" s="144">
        <v>0</v>
      </c>
      <c r="AB8" s="144">
        <v>0</v>
      </c>
      <c r="AC8" s="144">
        <v>0</v>
      </c>
      <c r="AD8" s="144">
        <v>8.4400170909430798</v>
      </c>
      <c r="AE8" s="144">
        <v>0</v>
      </c>
      <c r="AF8" s="144">
        <v>1.91995868369998</v>
      </c>
      <c r="AG8" s="144">
        <v>0</v>
      </c>
      <c r="AH8" s="144">
        <v>0</v>
      </c>
      <c r="AI8" s="144">
        <v>0</v>
      </c>
      <c r="AJ8" s="144">
        <v>0</v>
      </c>
      <c r="AK8" s="144">
        <v>0</v>
      </c>
      <c r="AL8" s="144">
        <v>182.450465542329</v>
      </c>
      <c r="AM8" s="144">
        <v>0</v>
      </c>
      <c r="AN8" s="144">
        <v>0</v>
      </c>
      <c r="AO8" s="144">
        <v>0</v>
      </c>
      <c r="AP8" s="144">
        <v>0</v>
      </c>
      <c r="AQ8" s="145">
        <v>0</v>
      </c>
    </row>
    <row r="9" spans="2:43" ht="12" customHeight="1" x14ac:dyDescent="0.3">
      <c r="B9" s="143" t="s">
        <v>36</v>
      </c>
      <c r="C9" s="144" t="s">
        <v>70</v>
      </c>
      <c r="D9" s="144" t="s">
        <v>25</v>
      </c>
      <c r="E9" s="144" t="s">
        <v>25</v>
      </c>
      <c r="F9" s="144" t="s">
        <v>25</v>
      </c>
      <c r="G9" s="144" t="s">
        <v>38</v>
      </c>
      <c r="H9" s="144" t="s">
        <v>71</v>
      </c>
      <c r="I9" s="144" t="s">
        <v>25</v>
      </c>
      <c r="J9" s="144">
        <v>178.75</v>
      </c>
      <c r="K9" s="144">
        <v>0</v>
      </c>
      <c r="L9" s="144">
        <v>0</v>
      </c>
      <c r="M9" s="144">
        <v>0</v>
      </c>
      <c r="N9" s="144">
        <v>0</v>
      </c>
      <c r="O9" s="144">
        <v>0</v>
      </c>
      <c r="P9" s="144">
        <v>0</v>
      </c>
      <c r="Q9" s="144">
        <v>0</v>
      </c>
      <c r="R9" s="144">
        <v>0</v>
      </c>
      <c r="S9" s="144">
        <v>0</v>
      </c>
      <c r="T9" s="144">
        <v>0</v>
      </c>
      <c r="U9" s="144">
        <v>0</v>
      </c>
      <c r="V9" s="144">
        <v>0</v>
      </c>
      <c r="W9" s="144">
        <v>0</v>
      </c>
      <c r="X9" s="144">
        <v>67.401123474166397</v>
      </c>
      <c r="Y9" s="144">
        <v>0</v>
      </c>
      <c r="Z9" s="144">
        <v>0</v>
      </c>
      <c r="AA9" s="144">
        <v>111.35144981214999</v>
      </c>
      <c r="AB9" s="144">
        <v>0</v>
      </c>
      <c r="AC9" s="144">
        <v>0</v>
      </c>
      <c r="AD9" s="144">
        <v>0</v>
      </c>
      <c r="AE9" s="144">
        <v>0</v>
      </c>
      <c r="AF9" s="144">
        <v>0</v>
      </c>
      <c r="AG9" s="144">
        <v>0</v>
      </c>
      <c r="AH9" s="144">
        <v>0</v>
      </c>
      <c r="AI9" s="144">
        <v>0</v>
      </c>
      <c r="AJ9" s="144">
        <v>0</v>
      </c>
      <c r="AK9" s="144">
        <v>0</v>
      </c>
      <c r="AL9" s="144">
        <v>0</v>
      </c>
      <c r="AM9" s="144">
        <v>0</v>
      </c>
      <c r="AN9" s="144">
        <v>0</v>
      </c>
      <c r="AO9" s="144">
        <v>0</v>
      </c>
      <c r="AP9" s="144">
        <v>0</v>
      </c>
      <c r="AQ9" s="145">
        <v>0</v>
      </c>
    </row>
    <row r="10" spans="2:43" ht="12" customHeight="1" x14ac:dyDescent="0.3">
      <c r="B10" s="143" t="s">
        <v>36</v>
      </c>
      <c r="C10" s="144" t="s">
        <v>70</v>
      </c>
      <c r="D10" s="144" t="s">
        <v>25</v>
      </c>
      <c r="E10" s="144" t="s">
        <v>25</v>
      </c>
      <c r="F10" s="144" t="s">
        <v>25</v>
      </c>
      <c r="G10" s="144" t="s">
        <v>39</v>
      </c>
      <c r="H10" s="144" t="s">
        <v>67</v>
      </c>
      <c r="I10" s="144" t="s">
        <v>25</v>
      </c>
      <c r="J10" s="144">
        <v>140.18</v>
      </c>
      <c r="K10" s="144">
        <v>182.45</v>
      </c>
      <c r="L10" s="144">
        <v>40.907081923258097</v>
      </c>
      <c r="M10" s="144">
        <v>1.8955019117716401</v>
      </c>
      <c r="N10" s="144">
        <v>0</v>
      </c>
      <c r="O10" s="144">
        <v>0</v>
      </c>
      <c r="P10" s="144">
        <v>0</v>
      </c>
      <c r="Q10" s="144">
        <v>72.668271341879603</v>
      </c>
      <c r="R10" s="144">
        <v>14.354023406416101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  <c r="AB10" s="144">
        <v>0</v>
      </c>
      <c r="AC10" s="144">
        <v>0</v>
      </c>
      <c r="AD10" s="144">
        <v>8.4400170909430798</v>
      </c>
      <c r="AE10" s="144">
        <v>0</v>
      </c>
      <c r="AF10" s="144">
        <v>1.91995868369998</v>
      </c>
      <c r="AG10" s="144">
        <v>0</v>
      </c>
      <c r="AH10" s="144">
        <v>0</v>
      </c>
      <c r="AI10" s="144">
        <v>0</v>
      </c>
      <c r="AJ10" s="144">
        <v>0</v>
      </c>
      <c r="AK10" s="144">
        <v>0</v>
      </c>
      <c r="AL10" s="144">
        <v>182.450465542329</v>
      </c>
      <c r="AM10" s="144">
        <v>0</v>
      </c>
      <c r="AN10" s="144">
        <v>0</v>
      </c>
      <c r="AO10" s="144">
        <v>0</v>
      </c>
      <c r="AP10" s="144">
        <v>0</v>
      </c>
      <c r="AQ10" s="145">
        <v>0</v>
      </c>
    </row>
    <row r="11" spans="2:43" ht="12" customHeight="1" x14ac:dyDescent="0.3">
      <c r="B11" s="143" t="s">
        <v>36</v>
      </c>
      <c r="C11" s="144" t="s">
        <v>70</v>
      </c>
      <c r="D11" s="144" t="s">
        <v>25</v>
      </c>
      <c r="E11" s="144" t="s">
        <v>25</v>
      </c>
      <c r="F11" s="144" t="s">
        <v>25</v>
      </c>
      <c r="G11" s="144" t="s">
        <v>39</v>
      </c>
      <c r="H11" s="144" t="s">
        <v>71</v>
      </c>
      <c r="I11" s="144" t="s">
        <v>25</v>
      </c>
      <c r="J11" s="144">
        <v>63.23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22.310368684383199</v>
      </c>
      <c r="Y11" s="144">
        <v>0</v>
      </c>
      <c r="Z11" s="144">
        <v>0</v>
      </c>
      <c r="AA11" s="144">
        <v>40.924278607235898</v>
      </c>
      <c r="AB11" s="144">
        <v>0</v>
      </c>
      <c r="AC11" s="144">
        <v>0</v>
      </c>
      <c r="AD11" s="144">
        <v>0</v>
      </c>
      <c r="AE11" s="144">
        <v>0</v>
      </c>
      <c r="AF11" s="144">
        <v>0</v>
      </c>
      <c r="AG11" s="144">
        <v>0</v>
      </c>
      <c r="AH11" s="144">
        <v>0</v>
      </c>
      <c r="AI11" s="144">
        <v>0</v>
      </c>
      <c r="AJ11" s="144">
        <v>0</v>
      </c>
      <c r="AK11" s="144">
        <v>0</v>
      </c>
      <c r="AL11" s="144">
        <v>0</v>
      </c>
      <c r="AM11" s="144">
        <v>0</v>
      </c>
      <c r="AN11" s="144">
        <v>0</v>
      </c>
      <c r="AO11" s="144">
        <v>0</v>
      </c>
      <c r="AP11" s="144">
        <v>0</v>
      </c>
      <c r="AQ11" s="145">
        <v>0</v>
      </c>
    </row>
    <row r="12" spans="2:43" ht="12" customHeight="1" x14ac:dyDescent="0.3">
      <c r="B12" s="143" t="s">
        <v>36</v>
      </c>
      <c r="C12" s="144" t="s">
        <v>76</v>
      </c>
      <c r="D12" s="144" t="s">
        <v>25</v>
      </c>
      <c r="E12" s="144" t="s">
        <v>25</v>
      </c>
      <c r="F12" s="144" t="s">
        <v>25</v>
      </c>
      <c r="G12" s="144" t="s">
        <v>25</v>
      </c>
      <c r="H12" s="144" t="s">
        <v>71</v>
      </c>
      <c r="I12" s="144" t="s">
        <v>25</v>
      </c>
      <c r="J12" s="144">
        <v>12.87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12.866829517757299</v>
      </c>
      <c r="AB12" s="144">
        <v>0</v>
      </c>
      <c r="AC12" s="144">
        <v>0</v>
      </c>
      <c r="AD12" s="144">
        <v>0</v>
      </c>
      <c r="AE12" s="144">
        <v>0</v>
      </c>
      <c r="AF12" s="144">
        <v>0</v>
      </c>
      <c r="AG12" s="144">
        <v>0</v>
      </c>
      <c r="AH12" s="144">
        <v>0</v>
      </c>
      <c r="AI12" s="144">
        <v>0</v>
      </c>
      <c r="AJ12" s="144">
        <v>0</v>
      </c>
      <c r="AK12" s="144">
        <v>0</v>
      </c>
      <c r="AL12" s="144">
        <v>0</v>
      </c>
      <c r="AM12" s="144">
        <v>0</v>
      </c>
      <c r="AN12" s="144">
        <v>0</v>
      </c>
      <c r="AO12" s="144">
        <v>0</v>
      </c>
      <c r="AP12" s="144">
        <v>0</v>
      </c>
      <c r="AQ12" s="145">
        <v>0</v>
      </c>
    </row>
    <row r="13" spans="2:43" ht="12" customHeight="1" x14ac:dyDescent="0.3">
      <c r="B13" s="143" t="s">
        <v>36</v>
      </c>
      <c r="C13" s="144" t="s">
        <v>37</v>
      </c>
      <c r="D13" s="144" t="s">
        <v>25</v>
      </c>
      <c r="E13" s="144" t="s">
        <v>25</v>
      </c>
      <c r="F13" s="144" t="s">
        <v>75</v>
      </c>
      <c r="G13" s="144" t="s">
        <v>38</v>
      </c>
      <c r="H13" s="144" t="s">
        <v>67</v>
      </c>
      <c r="I13" s="144" t="s">
        <v>25</v>
      </c>
      <c r="J13" s="144">
        <v>4311.2299999999996</v>
      </c>
      <c r="K13" s="144">
        <v>0</v>
      </c>
      <c r="L13" s="144">
        <v>0</v>
      </c>
      <c r="M13" s="144">
        <v>1.8955019117716401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0</v>
      </c>
      <c r="U13" s="144">
        <v>0</v>
      </c>
      <c r="V13" s="144">
        <v>0</v>
      </c>
      <c r="W13" s="144">
        <v>0</v>
      </c>
      <c r="X13" s="144">
        <v>1620.96525661244</v>
      </c>
      <c r="Y13" s="144">
        <v>0</v>
      </c>
      <c r="Z13" s="144">
        <v>0</v>
      </c>
      <c r="AA13" s="144">
        <v>2678.00526551748</v>
      </c>
      <c r="AB13" s="144">
        <v>0</v>
      </c>
      <c r="AC13" s="144">
        <v>0</v>
      </c>
      <c r="AD13" s="144">
        <v>8.4400170909430798</v>
      </c>
      <c r="AE13" s="144">
        <v>0</v>
      </c>
      <c r="AF13" s="144">
        <v>1.91995868369998</v>
      </c>
      <c r="AG13" s="144">
        <v>0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5">
        <v>0</v>
      </c>
    </row>
    <row r="14" spans="2:43" ht="12" customHeight="1" x14ac:dyDescent="0.3">
      <c r="B14" s="143" t="s">
        <v>36</v>
      </c>
      <c r="C14" s="144" t="s">
        <v>37</v>
      </c>
      <c r="D14" s="144" t="s">
        <v>25</v>
      </c>
      <c r="E14" s="144" t="s">
        <v>25</v>
      </c>
      <c r="F14" s="144" t="s">
        <v>75</v>
      </c>
      <c r="G14" s="144" t="s">
        <v>25</v>
      </c>
      <c r="H14" s="144" t="s">
        <v>71</v>
      </c>
      <c r="I14" s="144" t="s">
        <v>25</v>
      </c>
      <c r="J14" s="144">
        <v>63.23</v>
      </c>
      <c r="K14" s="144">
        <v>0</v>
      </c>
      <c r="L14" s="144">
        <v>0</v>
      </c>
      <c r="M14" s="144">
        <v>0</v>
      </c>
      <c r="N14" s="144">
        <v>0</v>
      </c>
      <c r="O14" s="144">
        <v>0</v>
      </c>
      <c r="P14" s="144">
        <v>0</v>
      </c>
      <c r="Q14" s="144">
        <v>0</v>
      </c>
      <c r="R14" s="144">
        <v>0</v>
      </c>
      <c r="S14" s="144">
        <v>0</v>
      </c>
      <c r="T14" s="144">
        <v>0</v>
      </c>
      <c r="U14" s="144">
        <v>0</v>
      </c>
      <c r="V14" s="144">
        <v>0</v>
      </c>
      <c r="W14" s="144">
        <v>0</v>
      </c>
      <c r="X14" s="144">
        <v>22.310368684383199</v>
      </c>
      <c r="Y14" s="144">
        <v>0</v>
      </c>
      <c r="Z14" s="144">
        <v>0</v>
      </c>
      <c r="AA14" s="144">
        <v>40.924278607235898</v>
      </c>
      <c r="AB14" s="144">
        <v>0</v>
      </c>
      <c r="AC14" s="144">
        <v>0</v>
      </c>
      <c r="AD14" s="144">
        <v>0</v>
      </c>
      <c r="AE14" s="144">
        <v>0</v>
      </c>
      <c r="AF14" s="144">
        <v>0</v>
      </c>
      <c r="AG14" s="144">
        <v>0</v>
      </c>
      <c r="AH14" s="144">
        <v>0</v>
      </c>
      <c r="AI14" s="144">
        <v>0</v>
      </c>
      <c r="AJ14" s="144">
        <v>0</v>
      </c>
      <c r="AK14" s="144">
        <v>0</v>
      </c>
      <c r="AL14" s="144">
        <v>0</v>
      </c>
      <c r="AM14" s="144">
        <v>0</v>
      </c>
      <c r="AN14" s="144">
        <v>0</v>
      </c>
      <c r="AO14" s="144">
        <v>0</v>
      </c>
      <c r="AP14" s="144">
        <v>0</v>
      </c>
      <c r="AQ14" s="145">
        <v>0</v>
      </c>
    </row>
    <row r="15" spans="2:43" ht="12" customHeight="1" x14ac:dyDescent="0.3">
      <c r="B15" s="143" t="s">
        <v>36</v>
      </c>
      <c r="C15" s="144" t="s">
        <v>37</v>
      </c>
      <c r="D15" s="144" t="s">
        <v>25</v>
      </c>
      <c r="E15" s="144" t="s">
        <v>25</v>
      </c>
      <c r="F15" s="144" t="s">
        <v>75</v>
      </c>
      <c r="G15" s="144" t="s">
        <v>39</v>
      </c>
      <c r="H15" s="144" t="s">
        <v>67</v>
      </c>
      <c r="I15" s="144" t="s">
        <v>25</v>
      </c>
      <c r="J15" s="144">
        <v>12.26</v>
      </c>
      <c r="K15" s="144">
        <v>0</v>
      </c>
      <c r="L15" s="144">
        <v>0</v>
      </c>
      <c r="M15" s="144">
        <v>1.8955019117716401</v>
      </c>
      <c r="N15" s="144">
        <v>0</v>
      </c>
      <c r="O15" s="144">
        <v>0</v>
      </c>
      <c r="P15" s="144">
        <v>0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4">
        <v>0</v>
      </c>
      <c r="W15" s="144">
        <v>0</v>
      </c>
      <c r="X15" s="144">
        <v>0</v>
      </c>
      <c r="Y15" s="144">
        <v>0</v>
      </c>
      <c r="Z15" s="144">
        <v>0</v>
      </c>
      <c r="AA15" s="144">
        <v>0</v>
      </c>
      <c r="AB15" s="144">
        <v>0</v>
      </c>
      <c r="AC15" s="144">
        <v>0</v>
      </c>
      <c r="AD15" s="144">
        <v>8.4400170909430798</v>
      </c>
      <c r="AE15" s="144">
        <v>0</v>
      </c>
      <c r="AF15" s="144">
        <v>1.91995868369998</v>
      </c>
      <c r="AG15" s="144">
        <v>0</v>
      </c>
      <c r="AH15" s="144">
        <v>0</v>
      </c>
      <c r="AI15" s="144">
        <v>0</v>
      </c>
      <c r="AJ15" s="144">
        <v>0</v>
      </c>
      <c r="AK15" s="144">
        <v>0</v>
      </c>
      <c r="AL15" s="144">
        <v>0</v>
      </c>
      <c r="AM15" s="144">
        <v>0</v>
      </c>
      <c r="AN15" s="144">
        <v>0</v>
      </c>
      <c r="AO15" s="144">
        <v>0</v>
      </c>
      <c r="AP15" s="144">
        <v>0</v>
      </c>
      <c r="AQ15" s="145">
        <v>0</v>
      </c>
    </row>
    <row r="16" spans="2:43" ht="12" customHeight="1" x14ac:dyDescent="0.3">
      <c r="B16" s="143" t="s">
        <v>36</v>
      </c>
      <c r="C16" s="144" t="s">
        <v>37</v>
      </c>
      <c r="D16" s="144" t="s">
        <v>25</v>
      </c>
      <c r="E16" s="144" t="s">
        <v>25</v>
      </c>
      <c r="F16" s="144" t="s">
        <v>25</v>
      </c>
      <c r="G16" s="144" t="s">
        <v>38</v>
      </c>
      <c r="H16" s="144" t="s">
        <v>67</v>
      </c>
      <c r="I16" s="144" t="s">
        <v>25</v>
      </c>
      <c r="J16" s="144">
        <v>4439.16</v>
      </c>
      <c r="K16" s="144">
        <v>182.45</v>
      </c>
      <c r="L16" s="144">
        <v>40.907081923258097</v>
      </c>
      <c r="M16" s="144">
        <v>1.8955019117716401</v>
      </c>
      <c r="N16" s="144">
        <v>0</v>
      </c>
      <c r="O16" s="144">
        <v>0</v>
      </c>
      <c r="P16" s="144">
        <v>0</v>
      </c>
      <c r="Q16" s="144">
        <v>72.668271341879603</v>
      </c>
      <c r="R16" s="144">
        <v>14.354023406416101</v>
      </c>
      <c r="S16" s="144">
        <v>0</v>
      </c>
      <c r="T16" s="144">
        <v>0</v>
      </c>
      <c r="U16" s="144">
        <v>0</v>
      </c>
      <c r="V16" s="144">
        <v>0</v>
      </c>
      <c r="W16" s="144">
        <v>0</v>
      </c>
      <c r="X16" s="144">
        <v>1620.96525661244</v>
      </c>
      <c r="Y16" s="144">
        <v>0</v>
      </c>
      <c r="Z16" s="144">
        <v>0</v>
      </c>
      <c r="AA16" s="144">
        <v>2678.00526551748</v>
      </c>
      <c r="AB16" s="144">
        <v>0</v>
      </c>
      <c r="AC16" s="144">
        <v>0</v>
      </c>
      <c r="AD16" s="144">
        <v>8.4400170909430798</v>
      </c>
      <c r="AE16" s="144">
        <v>0</v>
      </c>
      <c r="AF16" s="144">
        <v>1.91995868369998</v>
      </c>
      <c r="AG16" s="144">
        <v>0</v>
      </c>
      <c r="AH16" s="144">
        <v>0</v>
      </c>
      <c r="AI16" s="144">
        <v>0</v>
      </c>
      <c r="AJ16" s="144">
        <v>0</v>
      </c>
      <c r="AK16" s="144">
        <v>0</v>
      </c>
      <c r="AL16" s="144">
        <v>182.450465542329</v>
      </c>
      <c r="AM16" s="144">
        <v>0</v>
      </c>
      <c r="AN16" s="144">
        <v>0</v>
      </c>
      <c r="AO16" s="144">
        <v>0</v>
      </c>
      <c r="AP16" s="144">
        <v>0</v>
      </c>
      <c r="AQ16" s="145">
        <v>0</v>
      </c>
    </row>
    <row r="17" spans="2:43" ht="12" customHeight="1" x14ac:dyDescent="0.3">
      <c r="B17" s="143" t="s">
        <v>36</v>
      </c>
      <c r="C17" s="144" t="s">
        <v>37</v>
      </c>
      <c r="D17" s="144" t="s">
        <v>25</v>
      </c>
      <c r="E17" s="144" t="s">
        <v>25</v>
      </c>
      <c r="F17" s="144" t="s">
        <v>25</v>
      </c>
      <c r="G17" s="144" t="s">
        <v>25</v>
      </c>
      <c r="H17" s="144" t="s">
        <v>71</v>
      </c>
      <c r="I17" s="144" t="s">
        <v>25</v>
      </c>
      <c r="J17" s="144">
        <v>63.23</v>
      </c>
      <c r="K17" s="144">
        <v>0</v>
      </c>
      <c r="L17" s="144">
        <v>0</v>
      </c>
      <c r="M17" s="144">
        <v>0</v>
      </c>
      <c r="N17" s="144">
        <v>0</v>
      </c>
      <c r="O17" s="144">
        <v>0</v>
      </c>
      <c r="P17" s="144">
        <v>0</v>
      </c>
      <c r="Q17" s="144">
        <v>0</v>
      </c>
      <c r="R17" s="144">
        <v>0</v>
      </c>
      <c r="S17" s="144">
        <v>0</v>
      </c>
      <c r="T17" s="144">
        <v>0</v>
      </c>
      <c r="U17" s="144">
        <v>0</v>
      </c>
      <c r="V17" s="144">
        <v>0</v>
      </c>
      <c r="W17" s="144">
        <v>0</v>
      </c>
      <c r="X17" s="144">
        <v>22.310368684383199</v>
      </c>
      <c r="Y17" s="144">
        <v>0</v>
      </c>
      <c r="Z17" s="144">
        <v>0</v>
      </c>
      <c r="AA17" s="144">
        <v>40.924278607235898</v>
      </c>
      <c r="AB17" s="144">
        <v>0</v>
      </c>
      <c r="AC17" s="144">
        <v>0</v>
      </c>
      <c r="AD17" s="144">
        <v>0</v>
      </c>
      <c r="AE17" s="144">
        <v>0</v>
      </c>
      <c r="AF17" s="144">
        <v>0</v>
      </c>
      <c r="AG17" s="144">
        <v>0</v>
      </c>
      <c r="AH17" s="144">
        <v>0</v>
      </c>
      <c r="AI17" s="144">
        <v>0</v>
      </c>
      <c r="AJ17" s="144">
        <v>0</v>
      </c>
      <c r="AK17" s="144">
        <v>0</v>
      </c>
      <c r="AL17" s="144">
        <v>0</v>
      </c>
      <c r="AM17" s="144">
        <v>0</v>
      </c>
      <c r="AN17" s="144">
        <v>0</v>
      </c>
      <c r="AO17" s="144">
        <v>0</v>
      </c>
      <c r="AP17" s="144">
        <v>0</v>
      </c>
      <c r="AQ17" s="145">
        <v>0</v>
      </c>
    </row>
    <row r="18" spans="2:43" ht="12" customHeight="1" x14ac:dyDescent="0.3">
      <c r="B18" s="143" t="s">
        <v>36</v>
      </c>
      <c r="C18" s="144" t="s">
        <v>37</v>
      </c>
      <c r="D18" s="144" t="s">
        <v>25</v>
      </c>
      <c r="E18" s="144" t="s">
        <v>25</v>
      </c>
      <c r="F18" s="144" t="s">
        <v>25</v>
      </c>
      <c r="G18" s="144" t="s">
        <v>39</v>
      </c>
      <c r="H18" s="144" t="s">
        <v>67</v>
      </c>
      <c r="I18" s="144" t="s">
        <v>25</v>
      </c>
      <c r="J18" s="144">
        <v>140.18</v>
      </c>
      <c r="K18" s="144">
        <v>182.45</v>
      </c>
      <c r="L18" s="144">
        <v>40.907081923258097</v>
      </c>
      <c r="M18" s="144">
        <v>1.8955019117716401</v>
      </c>
      <c r="N18" s="144">
        <v>0</v>
      </c>
      <c r="O18" s="144">
        <v>0</v>
      </c>
      <c r="P18" s="144">
        <v>0</v>
      </c>
      <c r="Q18" s="144">
        <v>72.668271341879603</v>
      </c>
      <c r="R18" s="144">
        <v>14.354023406416101</v>
      </c>
      <c r="S18" s="144">
        <v>0</v>
      </c>
      <c r="T18" s="144">
        <v>0</v>
      </c>
      <c r="U18" s="144">
        <v>0</v>
      </c>
      <c r="V18" s="144">
        <v>0</v>
      </c>
      <c r="W18" s="144">
        <v>0</v>
      </c>
      <c r="X18" s="144">
        <v>0</v>
      </c>
      <c r="Y18" s="144">
        <v>0</v>
      </c>
      <c r="Z18" s="144">
        <v>0</v>
      </c>
      <c r="AA18" s="144">
        <v>0</v>
      </c>
      <c r="AB18" s="144">
        <v>0</v>
      </c>
      <c r="AC18" s="144">
        <v>0</v>
      </c>
      <c r="AD18" s="144">
        <v>8.4400170909430798</v>
      </c>
      <c r="AE18" s="144">
        <v>0</v>
      </c>
      <c r="AF18" s="144">
        <v>1.91995868369998</v>
      </c>
      <c r="AG18" s="144">
        <v>0</v>
      </c>
      <c r="AH18" s="144">
        <v>0</v>
      </c>
      <c r="AI18" s="144">
        <v>0</v>
      </c>
      <c r="AJ18" s="144">
        <v>0</v>
      </c>
      <c r="AK18" s="144">
        <v>0</v>
      </c>
      <c r="AL18" s="144">
        <v>182.450465542329</v>
      </c>
      <c r="AM18" s="144">
        <v>0</v>
      </c>
      <c r="AN18" s="144">
        <v>0</v>
      </c>
      <c r="AO18" s="144">
        <v>0</v>
      </c>
      <c r="AP18" s="144">
        <v>0</v>
      </c>
      <c r="AQ18" s="145">
        <v>0</v>
      </c>
    </row>
    <row r="19" spans="2:43" ht="12" customHeight="1" x14ac:dyDescent="0.3">
      <c r="B19" s="143" t="s">
        <v>77</v>
      </c>
      <c r="C19" s="144" t="s">
        <v>76</v>
      </c>
      <c r="D19" s="144" t="s">
        <v>25</v>
      </c>
      <c r="E19" s="144" t="s">
        <v>25</v>
      </c>
      <c r="F19" s="144" t="s">
        <v>78</v>
      </c>
      <c r="G19" s="144" t="s">
        <v>25</v>
      </c>
      <c r="H19" s="144" t="s">
        <v>71</v>
      </c>
      <c r="I19" s="144" t="s">
        <v>25</v>
      </c>
      <c r="J19" s="144">
        <v>3.59</v>
      </c>
      <c r="K19" s="144">
        <v>0</v>
      </c>
      <c r="L19" s="144">
        <v>0</v>
      </c>
      <c r="M19" s="144">
        <v>1.16868684285121E-2</v>
      </c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0</v>
      </c>
      <c r="T19" s="144">
        <v>0</v>
      </c>
      <c r="U19" s="144">
        <v>0</v>
      </c>
      <c r="V19" s="144">
        <v>0</v>
      </c>
      <c r="W19" s="144">
        <v>0</v>
      </c>
      <c r="X19" s="144">
        <v>0</v>
      </c>
      <c r="Y19" s="144">
        <v>0</v>
      </c>
      <c r="Z19" s="144">
        <v>0</v>
      </c>
      <c r="AA19" s="144">
        <v>3.5786499796335498</v>
      </c>
      <c r="AB19" s="144">
        <v>0</v>
      </c>
      <c r="AC19" s="144">
        <v>0</v>
      </c>
      <c r="AD19" s="144">
        <v>0</v>
      </c>
      <c r="AE19" s="144">
        <v>0</v>
      </c>
      <c r="AF19" s="144">
        <v>0</v>
      </c>
      <c r="AG19" s="144">
        <v>0</v>
      </c>
      <c r="AH19" s="144">
        <v>0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5">
        <v>0</v>
      </c>
    </row>
    <row r="20" spans="2:43" ht="12" customHeight="1" x14ac:dyDescent="0.3">
      <c r="B20" s="143" t="s">
        <v>77</v>
      </c>
      <c r="C20" s="144" t="s">
        <v>76</v>
      </c>
      <c r="D20" s="144" t="s">
        <v>25</v>
      </c>
      <c r="E20" s="144" t="s">
        <v>25</v>
      </c>
      <c r="F20" s="144" t="s">
        <v>79</v>
      </c>
      <c r="G20" s="144" t="s">
        <v>25</v>
      </c>
      <c r="H20" s="144" t="s">
        <v>71</v>
      </c>
      <c r="I20" s="144" t="s">
        <v>25</v>
      </c>
      <c r="J20" s="144">
        <v>11.55</v>
      </c>
      <c r="K20" s="144">
        <v>0</v>
      </c>
      <c r="L20" s="144">
        <v>0</v>
      </c>
      <c r="M20" s="144">
        <v>1.16868684285121E-2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11.5337416797237</v>
      </c>
      <c r="AB20" s="144">
        <v>0</v>
      </c>
      <c r="AC20" s="144">
        <v>0</v>
      </c>
      <c r="AD20" s="144">
        <v>0</v>
      </c>
      <c r="AE20" s="144">
        <v>0</v>
      </c>
      <c r="AF20" s="144">
        <v>0</v>
      </c>
      <c r="AG20" s="144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4">
        <v>0</v>
      </c>
      <c r="AO20" s="144">
        <v>0</v>
      </c>
      <c r="AP20" s="144">
        <v>0</v>
      </c>
      <c r="AQ20" s="145">
        <v>0</v>
      </c>
    </row>
    <row r="21" spans="2:43" ht="12" customHeight="1" x14ac:dyDescent="0.3">
      <c r="B21" s="143" t="s">
        <v>22</v>
      </c>
      <c r="C21" s="144" t="s">
        <v>82</v>
      </c>
      <c r="D21" s="144" t="s">
        <v>24</v>
      </c>
      <c r="E21" s="144" t="s">
        <v>24</v>
      </c>
      <c r="F21" s="144" t="s">
        <v>25</v>
      </c>
      <c r="G21" s="144" t="s">
        <v>38</v>
      </c>
      <c r="H21" s="144" t="s">
        <v>67</v>
      </c>
      <c r="I21" s="144" t="s">
        <v>25</v>
      </c>
      <c r="J21" s="144">
        <v>2498.21</v>
      </c>
      <c r="K21" s="144">
        <v>182.45</v>
      </c>
      <c r="L21" s="144">
        <v>48.698907051497798</v>
      </c>
      <c r="M21" s="144">
        <v>2.5344615588488999</v>
      </c>
      <c r="N21" s="144">
        <v>0</v>
      </c>
      <c r="O21" s="144">
        <v>0</v>
      </c>
      <c r="P21" s="144">
        <v>0</v>
      </c>
      <c r="Q21" s="144">
        <v>86.509846835570897</v>
      </c>
      <c r="R21" s="144">
        <v>14.354023406416101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852.89877669493399</v>
      </c>
      <c r="Y21" s="144">
        <v>0</v>
      </c>
      <c r="Z21" s="144">
        <v>0</v>
      </c>
      <c r="AA21" s="144">
        <v>1472.46549009205</v>
      </c>
      <c r="AB21" s="144">
        <v>0</v>
      </c>
      <c r="AC21" s="144">
        <v>0</v>
      </c>
      <c r="AD21" s="144">
        <v>18.256350949093001</v>
      </c>
      <c r="AE21" s="144">
        <v>0</v>
      </c>
      <c r="AF21" s="144">
        <v>2.4932910966817201</v>
      </c>
      <c r="AG21" s="144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182.450465542329</v>
      </c>
      <c r="AM21" s="144">
        <v>0</v>
      </c>
      <c r="AN21" s="144">
        <v>0</v>
      </c>
      <c r="AO21" s="144">
        <v>0</v>
      </c>
      <c r="AP21" s="144">
        <v>0</v>
      </c>
      <c r="AQ21" s="145">
        <v>0</v>
      </c>
    </row>
    <row r="22" spans="2:43" ht="12" customHeight="1" x14ac:dyDescent="0.3">
      <c r="B22" s="143" t="s">
        <v>22</v>
      </c>
      <c r="C22" s="144" t="s">
        <v>82</v>
      </c>
      <c r="D22" s="144" t="s">
        <v>24</v>
      </c>
      <c r="E22" s="144" t="s">
        <v>24</v>
      </c>
      <c r="F22" s="144" t="s">
        <v>25</v>
      </c>
      <c r="G22" s="144" t="s">
        <v>493</v>
      </c>
      <c r="H22" s="144" t="s">
        <v>67</v>
      </c>
      <c r="I22" s="144" t="s">
        <v>25</v>
      </c>
      <c r="J22" s="144">
        <v>1568.06</v>
      </c>
      <c r="K22" s="144">
        <v>182.45</v>
      </c>
      <c r="L22" s="144">
        <v>48.698907051497798</v>
      </c>
      <c r="M22" s="144">
        <v>2.5344615588488999</v>
      </c>
      <c r="N22" s="144">
        <v>0</v>
      </c>
      <c r="O22" s="144">
        <v>0</v>
      </c>
      <c r="P22" s="144">
        <v>0</v>
      </c>
      <c r="Q22" s="144">
        <v>86.509846835570897</v>
      </c>
      <c r="R22" s="144">
        <v>14.354023406416101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511.73792277919699</v>
      </c>
      <c r="Y22" s="144">
        <v>0</v>
      </c>
      <c r="Z22" s="144">
        <v>0</v>
      </c>
      <c r="AA22" s="144">
        <v>883.47933837699304</v>
      </c>
      <c r="AB22" s="144">
        <v>0</v>
      </c>
      <c r="AC22" s="144">
        <v>0</v>
      </c>
      <c r="AD22" s="144">
        <v>18.256350949093001</v>
      </c>
      <c r="AE22" s="144">
        <v>0</v>
      </c>
      <c r="AF22" s="144">
        <v>2.4932910966817201</v>
      </c>
      <c r="AG22" s="144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182.450465542329</v>
      </c>
      <c r="AM22" s="144">
        <v>0</v>
      </c>
      <c r="AN22" s="144">
        <v>0</v>
      </c>
      <c r="AO22" s="144">
        <v>0</v>
      </c>
      <c r="AP22" s="144">
        <v>0</v>
      </c>
      <c r="AQ22" s="145">
        <v>0</v>
      </c>
    </row>
    <row r="23" spans="2:43" ht="12" customHeight="1" x14ac:dyDescent="0.3">
      <c r="B23" s="143" t="s">
        <v>22</v>
      </c>
      <c r="C23" s="144" t="s">
        <v>82</v>
      </c>
      <c r="D23" s="144" t="s">
        <v>24</v>
      </c>
      <c r="E23" s="144" t="s">
        <v>24</v>
      </c>
      <c r="F23" s="144" t="s">
        <v>25</v>
      </c>
      <c r="G23" s="144" t="s">
        <v>39</v>
      </c>
      <c r="H23" s="144" t="s">
        <v>67</v>
      </c>
      <c r="I23" s="144" t="s">
        <v>25</v>
      </c>
      <c r="J23" s="144">
        <v>637.91999999999996</v>
      </c>
      <c r="K23" s="144">
        <v>182.45</v>
      </c>
      <c r="L23" s="144">
        <v>48.698907051497798</v>
      </c>
      <c r="M23" s="144">
        <v>2.5344615588488999</v>
      </c>
      <c r="N23" s="144">
        <v>0</v>
      </c>
      <c r="O23" s="144">
        <v>0</v>
      </c>
      <c r="P23" s="144">
        <v>0</v>
      </c>
      <c r="Q23" s="144">
        <v>86.509846835570897</v>
      </c>
      <c r="R23" s="144">
        <v>14.354023406416101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170.580658550587</v>
      </c>
      <c r="Y23" s="144">
        <v>0</v>
      </c>
      <c r="Z23" s="144">
        <v>0</v>
      </c>
      <c r="AA23" s="144">
        <v>294.49318666193699</v>
      </c>
      <c r="AB23" s="144">
        <v>0</v>
      </c>
      <c r="AC23" s="144">
        <v>0</v>
      </c>
      <c r="AD23" s="144">
        <v>18.256350949093001</v>
      </c>
      <c r="AE23" s="144">
        <v>0</v>
      </c>
      <c r="AF23" s="144">
        <v>2.4932910966817201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182.450465542329</v>
      </c>
      <c r="AM23" s="144">
        <v>0</v>
      </c>
      <c r="AN23" s="144">
        <v>0</v>
      </c>
      <c r="AO23" s="144">
        <v>0</v>
      </c>
      <c r="AP23" s="144">
        <v>0</v>
      </c>
      <c r="AQ23" s="145">
        <v>0</v>
      </c>
    </row>
    <row r="24" spans="2:43" ht="12" customHeight="1" x14ac:dyDescent="0.3">
      <c r="B24" s="143" t="s">
        <v>22</v>
      </c>
      <c r="C24" s="144" t="s">
        <v>23</v>
      </c>
      <c r="D24" s="144" t="s">
        <v>24</v>
      </c>
      <c r="E24" s="144" t="s">
        <v>1018</v>
      </c>
      <c r="F24" s="144" t="s">
        <v>25</v>
      </c>
      <c r="G24" s="144" t="s">
        <v>25</v>
      </c>
      <c r="H24" s="144" t="s">
        <v>67</v>
      </c>
      <c r="I24" s="144" t="s">
        <v>25</v>
      </c>
      <c r="J24" s="144">
        <v>825.13</v>
      </c>
      <c r="K24" s="144">
        <v>182.45</v>
      </c>
      <c r="L24" s="144">
        <v>0</v>
      </c>
      <c r="M24" s="144">
        <v>2.5344615588488999</v>
      </c>
      <c r="N24" s="144">
        <v>0</v>
      </c>
      <c r="O24" s="144">
        <v>0</v>
      </c>
      <c r="P24" s="144">
        <v>0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4">
        <v>0</v>
      </c>
      <c r="W24" s="144">
        <v>0</v>
      </c>
      <c r="X24" s="144">
        <v>294.10376115446201</v>
      </c>
      <c r="Y24" s="144">
        <v>0</v>
      </c>
      <c r="Z24" s="144">
        <v>0</v>
      </c>
      <c r="AA24" s="144">
        <v>507.746686333821</v>
      </c>
      <c r="AB24" s="144">
        <v>0</v>
      </c>
      <c r="AC24" s="144">
        <v>0</v>
      </c>
      <c r="AD24" s="144">
        <v>18.256350949093001</v>
      </c>
      <c r="AE24" s="144">
        <v>0</v>
      </c>
      <c r="AF24" s="144">
        <v>2.4932910966817201</v>
      </c>
      <c r="AG24" s="144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182.450465542329</v>
      </c>
      <c r="AM24" s="144">
        <v>0</v>
      </c>
      <c r="AN24" s="144">
        <v>0</v>
      </c>
      <c r="AO24" s="144">
        <v>0</v>
      </c>
      <c r="AP24" s="144">
        <v>0</v>
      </c>
      <c r="AQ24" s="145">
        <v>0</v>
      </c>
    </row>
    <row r="25" spans="2:43" ht="12" customHeight="1" x14ac:dyDescent="0.3">
      <c r="B25" s="143" t="s">
        <v>22</v>
      </c>
      <c r="C25" s="144" t="s">
        <v>23</v>
      </c>
      <c r="D25" s="144" t="s">
        <v>24</v>
      </c>
      <c r="E25" s="144" t="s">
        <v>24</v>
      </c>
      <c r="F25" s="144" t="s">
        <v>25</v>
      </c>
      <c r="G25" s="144" t="s">
        <v>25</v>
      </c>
      <c r="H25" s="144" t="s">
        <v>67</v>
      </c>
      <c r="I25" s="144" t="s">
        <v>25</v>
      </c>
      <c r="J25" s="144">
        <v>974.7</v>
      </c>
      <c r="K25" s="144">
        <v>182.45</v>
      </c>
      <c r="L25" s="144">
        <v>48.698907051497798</v>
      </c>
      <c r="M25" s="144">
        <v>2.5344615588488999</v>
      </c>
      <c r="N25" s="144">
        <v>0</v>
      </c>
      <c r="O25" s="144">
        <v>0</v>
      </c>
      <c r="P25" s="144">
        <v>0</v>
      </c>
      <c r="Q25" s="144">
        <v>86.509846835570897</v>
      </c>
      <c r="R25" s="144">
        <v>14.354023406416101</v>
      </c>
      <c r="S25" s="144">
        <v>0</v>
      </c>
      <c r="T25" s="144">
        <v>0</v>
      </c>
      <c r="U25" s="144">
        <v>0</v>
      </c>
      <c r="V25" s="144">
        <v>0</v>
      </c>
      <c r="W25" s="144">
        <v>0</v>
      </c>
      <c r="X25" s="144">
        <v>294.10376115446201</v>
      </c>
      <c r="Y25" s="144">
        <v>0</v>
      </c>
      <c r="Z25" s="144">
        <v>0</v>
      </c>
      <c r="AA25" s="144">
        <v>507.746686333821</v>
      </c>
      <c r="AB25" s="144">
        <v>0</v>
      </c>
      <c r="AC25" s="144">
        <v>0</v>
      </c>
      <c r="AD25" s="144">
        <v>18.256350949093001</v>
      </c>
      <c r="AE25" s="144">
        <v>0</v>
      </c>
      <c r="AF25" s="144">
        <v>2.4932910966817201</v>
      </c>
      <c r="AG25" s="144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182.450465542329</v>
      </c>
      <c r="AM25" s="144">
        <v>0</v>
      </c>
      <c r="AN25" s="144">
        <v>0</v>
      </c>
      <c r="AO25" s="144">
        <v>0</v>
      </c>
      <c r="AP25" s="144">
        <v>0</v>
      </c>
      <c r="AQ25" s="145">
        <v>0</v>
      </c>
    </row>
    <row r="26" spans="2:43" ht="12" customHeight="1" x14ac:dyDescent="0.3">
      <c r="B26" s="143" t="s">
        <v>22</v>
      </c>
      <c r="C26" s="144" t="s">
        <v>84</v>
      </c>
      <c r="D26" s="144" t="s">
        <v>24</v>
      </c>
      <c r="E26" s="144" t="s">
        <v>1018</v>
      </c>
      <c r="F26" s="144" t="s">
        <v>25</v>
      </c>
      <c r="G26" s="144" t="s">
        <v>25</v>
      </c>
      <c r="H26" s="144" t="s">
        <v>67</v>
      </c>
      <c r="I26" s="144" t="s">
        <v>25</v>
      </c>
      <c r="J26" s="144">
        <v>825.13</v>
      </c>
      <c r="K26" s="144">
        <v>182.45</v>
      </c>
      <c r="L26" s="144">
        <v>0</v>
      </c>
      <c r="M26" s="144">
        <v>2.5344615588488999</v>
      </c>
      <c r="N26" s="144">
        <v>0</v>
      </c>
      <c r="O26" s="144">
        <v>0</v>
      </c>
      <c r="P26" s="144">
        <v>0</v>
      </c>
      <c r="Q26" s="144">
        <v>0</v>
      </c>
      <c r="R26" s="144">
        <v>0</v>
      </c>
      <c r="S26" s="144">
        <v>0</v>
      </c>
      <c r="T26" s="144">
        <v>0</v>
      </c>
      <c r="U26" s="144">
        <v>0</v>
      </c>
      <c r="V26" s="144">
        <v>0</v>
      </c>
      <c r="W26" s="144">
        <v>0</v>
      </c>
      <c r="X26" s="144">
        <v>294.10376115446201</v>
      </c>
      <c r="Y26" s="144">
        <v>0</v>
      </c>
      <c r="Z26" s="144">
        <v>0</v>
      </c>
      <c r="AA26" s="144">
        <v>507.746686333821</v>
      </c>
      <c r="AB26" s="144">
        <v>0</v>
      </c>
      <c r="AC26" s="144">
        <v>0</v>
      </c>
      <c r="AD26" s="144">
        <v>18.256350949093001</v>
      </c>
      <c r="AE26" s="144">
        <v>0</v>
      </c>
      <c r="AF26" s="144">
        <v>2.4932910966817201</v>
      </c>
      <c r="AG26" s="144">
        <v>0</v>
      </c>
      <c r="AH26" s="144">
        <v>0</v>
      </c>
      <c r="AI26" s="144">
        <v>0</v>
      </c>
      <c r="AJ26" s="144">
        <v>0</v>
      </c>
      <c r="AK26" s="144">
        <v>0</v>
      </c>
      <c r="AL26" s="144">
        <v>182.450465542329</v>
      </c>
      <c r="AM26" s="144">
        <v>0</v>
      </c>
      <c r="AN26" s="144">
        <v>0</v>
      </c>
      <c r="AO26" s="144">
        <v>0</v>
      </c>
      <c r="AP26" s="144">
        <v>0</v>
      </c>
      <c r="AQ26" s="145">
        <v>0</v>
      </c>
    </row>
    <row r="27" spans="2:43" ht="12" customHeight="1" x14ac:dyDescent="0.3">
      <c r="B27" s="143" t="s">
        <v>22</v>
      </c>
      <c r="C27" s="144" t="s">
        <v>84</v>
      </c>
      <c r="D27" s="144" t="s">
        <v>24</v>
      </c>
      <c r="E27" s="144" t="s">
        <v>24</v>
      </c>
      <c r="F27" s="144" t="s">
        <v>25</v>
      </c>
      <c r="G27" s="144" t="s">
        <v>25</v>
      </c>
      <c r="H27" s="144" t="s">
        <v>67</v>
      </c>
      <c r="I27" s="144" t="s">
        <v>25</v>
      </c>
      <c r="J27" s="144">
        <v>974.7</v>
      </c>
      <c r="K27" s="144">
        <v>182.45</v>
      </c>
      <c r="L27" s="144">
        <v>48.698907051497798</v>
      </c>
      <c r="M27" s="144">
        <v>2.5344615588488999</v>
      </c>
      <c r="N27" s="144">
        <v>0</v>
      </c>
      <c r="O27" s="144">
        <v>0</v>
      </c>
      <c r="P27" s="144">
        <v>0</v>
      </c>
      <c r="Q27" s="144">
        <v>86.509846835570897</v>
      </c>
      <c r="R27" s="144">
        <v>14.354023406416101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294.10376115446201</v>
      </c>
      <c r="Y27" s="144">
        <v>0</v>
      </c>
      <c r="Z27" s="144">
        <v>0</v>
      </c>
      <c r="AA27" s="144">
        <v>507.746686333821</v>
      </c>
      <c r="AB27" s="144">
        <v>0</v>
      </c>
      <c r="AC27" s="144">
        <v>0</v>
      </c>
      <c r="AD27" s="144">
        <v>18.256350949093001</v>
      </c>
      <c r="AE27" s="144">
        <v>0</v>
      </c>
      <c r="AF27" s="144">
        <v>2.4932910966817201</v>
      </c>
      <c r="AG27" s="144">
        <v>0</v>
      </c>
      <c r="AH27" s="144">
        <v>0</v>
      </c>
      <c r="AI27" s="144">
        <v>0</v>
      </c>
      <c r="AJ27" s="144">
        <v>0</v>
      </c>
      <c r="AK27" s="144">
        <v>0</v>
      </c>
      <c r="AL27" s="144">
        <v>182.450465542329</v>
      </c>
      <c r="AM27" s="144">
        <v>0</v>
      </c>
      <c r="AN27" s="144">
        <v>0</v>
      </c>
      <c r="AO27" s="144">
        <v>0</v>
      </c>
      <c r="AP27" s="144">
        <v>0</v>
      </c>
      <c r="AQ27" s="145">
        <v>0</v>
      </c>
    </row>
    <row r="28" spans="2:43" ht="12" customHeight="1" x14ac:dyDescent="0.3">
      <c r="B28" s="143" t="s">
        <v>40</v>
      </c>
      <c r="C28" s="144" t="s">
        <v>82</v>
      </c>
      <c r="D28" s="144" t="s">
        <v>41</v>
      </c>
      <c r="E28" s="144" t="s">
        <v>85</v>
      </c>
      <c r="F28" s="144" t="s">
        <v>25</v>
      </c>
      <c r="G28" s="144" t="s">
        <v>38</v>
      </c>
      <c r="H28" s="144" t="s">
        <v>67</v>
      </c>
      <c r="I28" s="144" t="s">
        <v>25</v>
      </c>
      <c r="J28" s="144">
        <v>2423.69</v>
      </c>
      <c r="K28" s="144">
        <v>171.5</v>
      </c>
      <c r="L28" s="144">
        <v>45.776972628407897</v>
      </c>
      <c r="M28" s="144">
        <v>2.3823938653179599</v>
      </c>
      <c r="N28" s="144">
        <v>0</v>
      </c>
      <c r="O28" s="144">
        <v>0</v>
      </c>
      <c r="P28" s="144">
        <v>0</v>
      </c>
      <c r="Q28" s="144">
        <v>81.319256025436701</v>
      </c>
      <c r="R28" s="144">
        <v>13.492782002031101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829.371517969808</v>
      </c>
      <c r="Y28" s="144">
        <v>0</v>
      </c>
      <c r="Z28" s="144">
        <v>0</v>
      </c>
      <c r="AA28" s="144">
        <v>1431.8457596175199</v>
      </c>
      <c r="AB28" s="144">
        <v>0</v>
      </c>
      <c r="AC28" s="144">
        <v>0</v>
      </c>
      <c r="AD28" s="144">
        <v>17.160969892147399</v>
      </c>
      <c r="AE28" s="144">
        <v>0</v>
      </c>
      <c r="AF28" s="144">
        <v>2.3436936308808098</v>
      </c>
      <c r="AG28" s="144">
        <v>0</v>
      </c>
      <c r="AH28" s="144">
        <v>0</v>
      </c>
      <c r="AI28" s="144">
        <v>0</v>
      </c>
      <c r="AJ28" s="144">
        <v>0</v>
      </c>
      <c r="AK28" s="144">
        <v>0</v>
      </c>
      <c r="AL28" s="144">
        <v>171.50343760978899</v>
      </c>
      <c r="AM28" s="144">
        <v>0</v>
      </c>
      <c r="AN28" s="144">
        <v>0</v>
      </c>
      <c r="AO28" s="144">
        <v>0</v>
      </c>
      <c r="AP28" s="144">
        <v>0</v>
      </c>
      <c r="AQ28" s="145">
        <v>0</v>
      </c>
    </row>
    <row r="29" spans="2:43" ht="12" customHeight="1" x14ac:dyDescent="0.3">
      <c r="B29" s="143" t="s">
        <v>40</v>
      </c>
      <c r="C29" s="144" t="s">
        <v>82</v>
      </c>
      <c r="D29" s="144" t="s">
        <v>41</v>
      </c>
      <c r="E29" s="144" t="s">
        <v>85</v>
      </c>
      <c r="F29" s="144" t="s">
        <v>25</v>
      </c>
      <c r="G29" s="144" t="s">
        <v>493</v>
      </c>
      <c r="H29" s="144" t="s">
        <v>67</v>
      </c>
      <c r="I29" s="144" t="s">
        <v>25</v>
      </c>
      <c r="J29" s="144">
        <v>1519.2</v>
      </c>
      <c r="K29" s="144">
        <v>171.5</v>
      </c>
      <c r="L29" s="144">
        <v>45.776972628407897</v>
      </c>
      <c r="M29" s="144">
        <v>2.3823938653179599</v>
      </c>
      <c r="N29" s="144">
        <v>0</v>
      </c>
      <c r="O29" s="144">
        <v>0</v>
      </c>
      <c r="P29" s="144">
        <v>0</v>
      </c>
      <c r="Q29" s="144">
        <v>81.319256025436701</v>
      </c>
      <c r="R29" s="144">
        <v>13.492782002031101</v>
      </c>
      <c r="S29" s="144">
        <v>0</v>
      </c>
      <c r="T29" s="144">
        <v>0</v>
      </c>
      <c r="U29" s="144">
        <v>0</v>
      </c>
      <c r="V29" s="144">
        <v>0</v>
      </c>
      <c r="W29" s="144">
        <v>0</v>
      </c>
      <c r="X29" s="144">
        <v>497.62129982293902</v>
      </c>
      <c r="Y29" s="144">
        <v>0</v>
      </c>
      <c r="Z29" s="144">
        <v>0</v>
      </c>
      <c r="AA29" s="144">
        <v>859.10747660174104</v>
      </c>
      <c r="AB29" s="144">
        <v>0</v>
      </c>
      <c r="AC29" s="144">
        <v>0</v>
      </c>
      <c r="AD29" s="144">
        <v>17.160969892147399</v>
      </c>
      <c r="AE29" s="144">
        <v>0</v>
      </c>
      <c r="AF29" s="144">
        <v>2.3436936308808098</v>
      </c>
      <c r="AG29" s="144">
        <v>0</v>
      </c>
      <c r="AH29" s="144">
        <v>0</v>
      </c>
      <c r="AI29" s="144">
        <v>0</v>
      </c>
      <c r="AJ29" s="144">
        <v>0</v>
      </c>
      <c r="AK29" s="144">
        <v>0</v>
      </c>
      <c r="AL29" s="144">
        <v>171.50343760978899</v>
      </c>
      <c r="AM29" s="144">
        <v>0</v>
      </c>
      <c r="AN29" s="144">
        <v>0</v>
      </c>
      <c r="AO29" s="144">
        <v>0</v>
      </c>
      <c r="AP29" s="144">
        <v>0</v>
      </c>
      <c r="AQ29" s="145">
        <v>0</v>
      </c>
    </row>
    <row r="30" spans="2:43" ht="12" customHeight="1" x14ac:dyDescent="0.3">
      <c r="B30" s="143" t="s">
        <v>40</v>
      </c>
      <c r="C30" s="144" t="s">
        <v>82</v>
      </c>
      <c r="D30" s="144" t="s">
        <v>41</v>
      </c>
      <c r="E30" s="144" t="s">
        <v>85</v>
      </c>
      <c r="F30" s="144" t="s">
        <v>25</v>
      </c>
      <c r="G30" s="144" t="s">
        <v>39</v>
      </c>
      <c r="H30" s="144" t="s">
        <v>67</v>
      </c>
      <c r="I30" s="144" t="s">
        <v>25</v>
      </c>
      <c r="J30" s="144">
        <v>614.72</v>
      </c>
      <c r="K30" s="144">
        <v>171.5</v>
      </c>
      <c r="L30" s="144">
        <v>45.776972628407897</v>
      </c>
      <c r="M30" s="144">
        <v>2.3823938653179599</v>
      </c>
      <c r="N30" s="144">
        <v>0</v>
      </c>
      <c r="O30" s="144">
        <v>0</v>
      </c>
      <c r="P30" s="144">
        <v>0</v>
      </c>
      <c r="Q30" s="144">
        <v>81.319256025436701</v>
      </c>
      <c r="R30" s="144">
        <v>13.492782002031101</v>
      </c>
      <c r="S30" s="144">
        <v>0</v>
      </c>
      <c r="T30" s="144">
        <v>0</v>
      </c>
      <c r="U30" s="144">
        <v>0</v>
      </c>
      <c r="V30" s="144">
        <v>0</v>
      </c>
      <c r="W30" s="144">
        <v>0</v>
      </c>
      <c r="X30" s="144">
        <v>165.87500022485699</v>
      </c>
      <c r="Y30" s="144">
        <v>0</v>
      </c>
      <c r="Z30" s="144">
        <v>0</v>
      </c>
      <c r="AA30" s="144">
        <v>286.369297742105</v>
      </c>
      <c r="AB30" s="144">
        <v>0</v>
      </c>
      <c r="AC30" s="144">
        <v>0</v>
      </c>
      <c r="AD30" s="144">
        <v>17.160969892147399</v>
      </c>
      <c r="AE30" s="144">
        <v>0</v>
      </c>
      <c r="AF30" s="144">
        <v>2.3436936308808098</v>
      </c>
      <c r="AG30" s="144">
        <v>0</v>
      </c>
      <c r="AH30" s="144">
        <v>0</v>
      </c>
      <c r="AI30" s="144">
        <v>0</v>
      </c>
      <c r="AJ30" s="144">
        <v>0</v>
      </c>
      <c r="AK30" s="144">
        <v>0</v>
      </c>
      <c r="AL30" s="144">
        <v>171.50343760978899</v>
      </c>
      <c r="AM30" s="144">
        <v>0</v>
      </c>
      <c r="AN30" s="144">
        <v>0</v>
      </c>
      <c r="AO30" s="144">
        <v>0</v>
      </c>
      <c r="AP30" s="144">
        <v>0</v>
      </c>
      <c r="AQ30" s="145">
        <v>0</v>
      </c>
    </row>
    <row r="31" spans="2:43" ht="12" customHeight="1" x14ac:dyDescent="0.3">
      <c r="B31" s="143" t="s">
        <v>40</v>
      </c>
      <c r="C31" s="144" t="s">
        <v>82</v>
      </c>
      <c r="D31" s="144" t="s">
        <v>41</v>
      </c>
      <c r="E31" s="144" t="s">
        <v>25</v>
      </c>
      <c r="F31" s="144" t="s">
        <v>25</v>
      </c>
      <c r="G31" s="144" t="s">
        <v>38</v>
      </c>
      <c r="H31" s="144" t="s">
        <v>67</v>
      </c>
      <c r="I31" s="144" t="s">
        <v>25</v>
      </c>
      <c r="J31" s="144">
        <v>2423.69</v>
      </c>
      <c r="K31" s="144">
        <v>171.5</v>
      </c>
      <c r="L31" s="144">
        <v>45.776972628407897</v>
      </c>
      <c r="M31" s="144">
        <v>2.3823938653179599</v>
      </c>
      <c r="N31" s="144">
        <v>0</v>
      </c>
      <c r="O31" s="144">
        <v>0</v>
      </c>
      <c r="P31" s="144">
        <v>0</v>
      </c>
      <c r="Q31" s="144">
        <v>81.319256025436701</v>
      </c>
      <c r="R31" s="144">
        <v>13.492782002031101</v>
      </c>
      <c r="S31" s="144">
        <v>0</v>
      </c>
      <c r="T31" s="144">
        <v>0</v>
      </c>
      <c r="U31" s="144">
        <v>0</v>
      </c>
      <c r="V31" s="144">
        <v>0</v>
      </c>
      <c r="W31" s="144">
        <v>0</v>
      </c>
      <c r="X31" s="144">
        <v>829.371517969808</v>
      </c>
      <c r="Y31" s="144">
        <v>0</v>
      </c>
      <c r="Z31" s="144">
        <v>0</v>
      </c>
      <c r="AA31" s="144">
        <v>1431.8457596175199</v>
      </c>
      <c r="AB31" s="144">
        <v>0</v>
      </c>
      <c r="AC31" s="144">
        <v>0</v>
      </c>
      <c r="AD31" s="144">
        <v>17.160969892147399</v>
      </c>
      <c r="AE31" s="144">
        <v>0</v>
      </c>
      <c r="AF31" s="144">
        <v>2.3436936308808098</v>
      </c>
      <c r="AG31" s="144">
        <v>0</v>
      </c>
      <c r="AH31" s="144">
        <v>0</v>
      </c>
      <c r="AI31" s="144">
        <v>0</v>
      </c>
      <c r="AJ31" s="144">
        <v>0</v>
      </c>
      <c r="AK31" s="144">
        <v>0</v>
      </c>
      <c r="AL31" s="144">
        <v>171.50343760978899</v>
      </c>
      <c r="AM31" s="144">
        <v>0</v>
      </c>
      <c r="AN31" s="144">
        <v>0</v>
      </c>
      <c r="AO31" s="144">
        <v>0</v>
      </c>
      <c r="AP31" s="144">
        <v>0</v>
      </c>
      <c r="AQ31" s="145">
        <v>0</v>
      </c>
    </row>
    <row r="32" spans="2:43" ht="12" customHeight="1" x14ac:dyDescent="0.3">
      <c r="B32" s="143" t="s">
        <v>40</v>
      </c>
      <c r="C32" s="144" t="s">
        <v>82</v>
      </c>
      <c r="D32" s="144" t="s">
        <v>41</v>
      </c>
      <c r="E32" s="144" t="s">
        <v>25</v>
      </c>
      <c r="F32" s="144" t="s">
        <v>25</v>
      </c>
      <c r="G32" s="144" t="s">
        <v>493</v>
      </c>
      <c r="H32" s="144" t="s">
        <v>67</v>
      </c>
      <c r="I32" s="144" t="s">
        <v>25</v>
      </c>
      <c r="J32" s="144">
        <v>1519.2</v>
      </c>
      <c r="K32" s="144">
        <v>171.5</v>
      </c>
      <c r="L32" s="144">
        <v>45.776972628407897</v>
      </c>
      <c r="M32" s="144">
        <v>2.3823938653179599</v>
      </c>
      <c r="N32" s="144">
        <v>0</v>
      </c>
      <c r="O32" s="144">
        <v>0</v>
      </c>
      <c r="P32" s="144">
        <v>0</v>
      </c>
      <c r="Q32" s="144">
        <v>81.319256025436701</v>
      </c>
      <c r="R32" s="144">
        <v>13.492782002031101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497.62129982293902</v>
      </c>
      <c r="Y32" s="144">
        <v>0</v>
      </c>
      <c r="Z32" s="144">
        <v>0</v>
      </c>
      <c r="AA32" s="144">
        <v>859.10747660174104</v>
      </c>
      <c r="AB32" s="144">
        <v>0</v>
      </c>
      <c r="AC32" s="144">
        <v>0</v>
      </c>
      <c r="AD32" s="144">
        <v>17.160969892147399</v>
      </c>
      <c r="AE32" s="144">
        <v>0</v>
      </c>
      <c r="AF32" s="144">
        <v>2.3436936308808098</v>
      </c>
      <c r="AG32" s="144">
        <v>0</v>
      </c>
      <c r="AH32" s="144">
        <v>0</v>
      </c>
      <c r="AI32" s="144">
        <v>0</v>
      </c>
      <c r="AJ32" s="144">
        <v>0</v>
      </c>
      <c r="AK32" s="144">
        <v>0</v>
      </c>
      <c r="AL32" s="144">
        <v>171.50343760978899</v>
      </c>
      <c r="AM32" s="144">
        <v>0</v>
      </c>
      <c r="AN32" s="144">
        <v>0</v>
      </c>
      <c r="AO32" s="144">
        <v>0</v>
      </c>
      <c r="AP32" s="144">
        <v>0</v>
      </c>
      <c r="AQ32" s="145">
        <v>0</v>
      </c>
    </row>
    <row r="33" spans="2:43" ht="12" customHeight="1" x14ac:dyDescent="0.3">
      <c r="B33" s="143" t="s">
        <v>40</v>
      </c>
      <c r="C33" s="144" t="s">
        <v>82</v>
      </c>
      <c r="D33" s="144" t="s">
        <v>41</v>
      </c>
      <c r="E33" s="144" t="s">
        <v>25</v>
      </c>
      <c r="F33" s="144" t="s">
        <v>25</v>
      </c>
      <c r="G33" s="144" t="s">
        <v>39</v>
      </c>
      <c r="H33" s="144" t="s">
        <v>67</v>
      </c>
      <c r="I33" s="144" t="s">
        <v>25</v>
      </c>
      <c r="J33" s="144">
        <v>614.72</v>
      </c>
      <c r="K33" s="144">
        <v>171.5</v>
      </c>
      <c r="L33" s="144">
        <v>45.776972628407897</v>
      </c>
      <c r="M33" s="144">
        <v>2.3823938653179599</v>
      </c>
      <c r="N33" s="144">
        <v>0</v>
      </c>
      <c r="O33" s="144">
        <v>0</v>
      </c>
      <c r="P33" s="144">
        <v>0</v>
      </c>
      <c r="Q33" s="144">
        <v>81.319256025436701</v>
      </c>
      <c r="R33" s="144">
        <v>13.492782002031101</v>
      </c>
      <c r="S33" s="144">
        <v>0</v>
      </c>
      <c r="T33" s="144">
        <v>0</v>
      </c>
      <c r="U33" s="144">
        <v>0</v>
      </c>
      <c r="V33" s="144">
        <v>0</v>
      </c>
      <c r="W33" s="144">
        <v>0</v>
      </c>
      <c r="X33" s="144">
        <v>165.87500022485699</v>
      </c>
      <c r="Y33" s="144">
        <v>0</v>
      </c>
      <c r="Z33" s="144">
        <v>0</v>
      </c>
      <c r="AA33" s="144">
        <v>286.369297742105</v>
      </c>
      <c r="AB33" s="144">
        <v>0</v>
      </c>
      <c r="AC33" s="144">
        <v>0</v>
      </c>
      <c r="AD33" s="144">
        <v>17.160969892147399</v>
      </c>
      <c r="AE33" s="144">
        <v>0</v>
      </c>
      <c r="AF33" s="144">
        <v>2.3436936308808098</v>
      </c>
      <c r="AG33" s="144">
        <v>0</v>
      </c>
      <c r="AH33" s="144">
        <v>0</v>
      </c>
      <c r="AI33" s="144">
        <v>0</v>
      </c>
      <c r="AJ33" s="144">
        <v>0</v>
      </c>
      <c r="AK33" s="144">
        <v>0</v>
      </c>
      <c r="AL33" s="144">
        <v>171.50343760978899</v>
      </c>
      <c r="AM33" s="144">
        <v>0</v>
      </c>
      <c r="AN33" s="144">
        <v>0</v>
      </c>
      <c r="AO33" s="144">
        <v>0</v>
      </c>
      <c r="AP33" s="144">
        <v>0</v>
      </c>
      <c r="AQ33" s="145">
        <v>0</v>
      </c>
    </row>
    <row r="34" spans="2:43" ht="12" customHeight="1" x14ac:dyDescent="0.3">
      <c r="B34" s="143" t="s">
        <v>40</v>
      </c>
      <c r="C34" s="144" t="s">
        <v>82</v>
      </c>
      <c r="D34" s="144" t="s">
        <v>41</v>
      </c>
      <c r="E34" s="144" t="s">
        <v>86</v>
      </c>
      <c r="F34" s="144" t="s">
        <v>25</v>
      </c>
      <c r="G34" s="144" t="s">
        <v>38</v>
      </c>
      <c r="H34" s="144" t="s">
        <v>67</v>
      </c>
      <c r="I34" s="144" t="s">
        <v>25</v>
      </c>
      <c r="J34" s="144">
        <v>2372.13</v>
      </c>
      <c r="K34" s="144">
        <v>167.85</v>
      </c>
      <c r="L34" s="144">
        <v>44.802994487377902</v>
      </c>
      <c r="M34" s="144">
        <v>2.3317046341409902</v>
      </c>
      <c r="N34" s="144">
        <v>0</v>
      </c>
      <c r="O34" s="144">
        <v>0</v>
      </c>
      <c r="P34" s="144">
        <v>0</v>
      </c>
      <c r="Q34" s="144">
        <v>79.589059088725193</v>
      </c>
      <c r="R34" s="144">
        <v>13.205701533902801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811.72531545981201</v>
      </c>
      <c r="Y34" s="144">
        <v>0</v>
      </c>
      <c r="Z34" s="144">
        <v>0</v>
      </c>
      <c r="AA34" s="144">
        <v>1401.3809562214001</v>
      </c>
      <c r="AB34" s="144">
        <v>0</v>
      </c>
      <c r="AC34" s="144">
        <v>0</v>
      </c>
      <c r="AD34" s="144">
        <v>16.795842873165501</v>
      </c>
      <c r="AE34" s="144">
        <v>0</v>
      </c>
      <c r="AF34" s="144">
        <v>2.2938278089471802</v>
      </c>
      <c r="AG34" s="144">
        <v>0</v>
      </c>
      <c r="AH34" s="144">
        <v>0</v>
      </c>
      <c r="AI34" s="144">
        <v>0</v>
      </c>
      <c r="AJ34" s="144">
        <v>0</v>
      </c>
      <c r="AK34" s="144">
        <v>0</v>
      </c>
      <c r="AL34" s="144">
        <v>167.85442829894299</v>
      </c>
      <c r="AM34" s="144">
        <v>0</v>
      </c>
      <c r="AN34" s="144">
        <v>0</v>
      </c>
      <c r="AO34" s="144">
        <v>0</v>
      </c>
      <c r="AP34" s="144">
        <v>0</v>
      </c>
      <c r="AQ34" s="145">
        <v>0</v>
      </c>
    </row>
    <row r="35" spans="2:43" ht="12" customHeight="1" x14ac:dyDescent="0.3">
      <c r="B35" s="143" t="s">
        <v>40</v>
      </c>
      <c r="C35" s="144" t="s">
        <v>82</v>
      </c>
      <c r="D35" s="144" t="s">
        <v>41</v>
      </c>
      <c r="E35" s="144" t="s">
        <v>86</v>
      </c>
      <c r="F35" s="144" t="s">
        <v>25</v>
      </c>
      <c r="G35" s="144" t="s">
        <v>493</v>
      </c>
      <c r="H35" s="144" t="s">
        <v>67</v>
      </c>
      <c r="I35" s="144" t="s">
        <v>25</v>
      </c>
      <c r="J35" s="144">
        <v>1486.88</v>
      </c>
      <c r="K35" s="144">
        <v>167.85</v>
      </c>
      <c r="L35" s="144">
        <v>44.802994487377902</v>
      </c>
      <c r="M35" s="144">
        <v>2.3317046341409902</v>
      </c>
      <c r="N35" s="144">
        <v>0</v>
      </c>
      <c r="O35" s="144">
        <v>0</v>
      </c>
      <c r="P35" s="144">
        <v>0</v>
      </c>
      <c r="Q35" s="144">
        <v>79.589059088725193</v>
      </c>
      <c r="R35" s="144">
        <v>13.205701533902801</v>
      </c>
      <c r="S35" s="144">
        <v>0</v>
      </c>
      <c r="T35" s="144">
        <v>0</v>
      </c>
      <c r="U35" s="144">
        <v>0</v>
      </c>
      <c r="V35" s="144">
        <v>0</v>
      </c>
      <c r="W35" s="144">
        <v>0</v>
      </c>
      <c r="X35" s="144">
        <v>487.03361259266399</v>
      </c>
      <c r="Y35" s="144">
        <v>0</v>
      </c>
      <c r="Z35" s="144">
        <v>0</v>
      </c>
      <c r="AA35" s="144">
        <v>840.82859412085304</v>
      </c>
      <c r="AB35" s="144">
        <v>0</v>
      </c>
      <c r="AC35" s="144">
        <v>0</v>
      </c>
      <c r="AD35" s="144">
        <v>16.795842873165501</v>
      </c>
      <c r="AE35" s="144">
        <v>0</v>
      </c>
      <c r="AF35" s="144">
        <v>2.2938278089471802</v>
      </c>
      <c r="AG35" s="144">
        <v>0</v>
      </c>
      <c r="AH35" s="144">
        <v>0</v>
      </c>
      <c r="AI35" s="144">
        <v>0</v>
      </c>
      <c r="AJ35" s="144">
        <v>0</v>
      </c>
      <c r="AK35" s="144">
        <v>0</v>
      </c>
      <c r="AL35" s="144">
        <v>167.85442829894299</v>
      </c>
      <c r="AM35" s="144">
        <v>0</v>
      </c>
      <c r="AN35" s="144">
        <v>0</v>
      </c>
      <c r="AO35" s="144">
        <v>0</v>
      </c>
      <c r="AP35" s="144">
        <v>0</v>
      </c>
      <c r="AQ35" s="145">
        <v>0</v>
      </c>
    </row>
    <row r="36" spans="2:43" ht="12" customHeight="1" x14ac:dyDescent="0.3">
      <c r="B36" s="143" t="s">
        <v>40</v>
      </c>
      <c r="C36" s="144" t="s">
        <v>82</v>
      </c>
      <c r="D36" s="144" t="s">
        <v>41</v>
      </c>
      <c r="E36" s="144" t="s">
        <v>86</v>
      </c>
      <c r="F36" s="144" t="s">
        <v>25</v>
      </c>
      <c r="G36" s="144" t="s">
        <v>39</v>
      </c>
      <c r="H36" s="144" t="s">
        <v>67</v>
      </c>
      <c r="I36" s="144" t="s">
        <v>25</v>
      </c>
      <c r="J36" s="144">
        <v>601.64</v>
      </c>
      <c r="K36" s="144">
        <v>167.85</v>
      </c>
      <c r="L36" s="144">
        <v>44.802994487377902</v>
      </c>
      <c r="M36" s="144">
        <v>2.3317046341409902</v>
      </c>
      <c r="N36" s="144">
        <v>0</v>
      </c>
      <c r="O36" s="144">
        <v>0</v>
      </c>
      <c r="P36" s="144">
        <v>0</v>
      </c>
      <c r="Q36" s="144">
        <v>79.589059088725193</v>
      </c>
      <c r="R36" s="144">
        <v>13.205701533902801</v>
      </c>
      <c r="S36" s="144">
        <v>0</v>
      </c>
      <c r="T36" s="144">
        <v>0</v>
      </c>
      <c r="U36" s="144">
        <v>0</v>
      </c>
      <c r="V36" s="144">
        <v>0</v>
      </c>
      <c r="W36" s="144">
        <v>0</v>
      </c>
      <c r="X36" s="144">
        <v>162.34574490092399</v>
      </c>
      <c r="Y36" s="144">
        <v>0</v>
      </c>
      <c r="Z36" s="144">
        <v>0</v>
      </c>
      <c r="AA36" s="144">
        <v>280.27633396035901</v>
      </c>
      <c r="AB36" s="144">
        <v>0</v>
      </c>
      <c r="AC36" s="144">
        <v>0</v>
      </c>
      <c r="AD36" s="144">
        <v>16.795842873165501</v>
      </c>
      <c r="AE36" s="144">
        <v>0</v>
      </c>
      <c r="AF36" s="144">
        <v>2.2938278089471802</v>
      </c>
      <c r="AG36" s="144">
        <v>0</v>
      </c>
      <c r="AH36" s="144">
        <v>0</v>
      </c>
      <c r="AI36" s="144">
        <v>0</v>
      </c>
      <c r="AJ36" s="144">
        <v>0</v>
      </c>
      <c r="AK36" s="144">
        <v>0</v>
      </c>
      <c r="AL36" s="144">
        <v>167.85442829894299</v>
      </c>
      <c r="AM36" s="144">
        <v>0</v>
      </c>
      <c r="AN36" s="144">
        <v>0</v>
      </c>
      <c r="AO36" s="144">
        <v>0</v>
      </c>
      <c r="AP36" s="144">
        <v>0</v>
      </c>
      <c r="AQ36" s="145">
        <v>0</v>
      </c>
    </row>
    <row r="37" spans="2:43" ht="12" customHeight="1" x14ac:dyDescent="0.3">
      <c r="B37" s="143" t="s">
        <v>40</v>
      </c>
      <c r="C37" s="144" t="s">
        <v>23</v>
      </c>
      <c r="D37" s="144" t="s">
        <v>41</v>
      </c>
      <c r="E37" s="144" t="s">
        <v>85</v>
      </c>
      <c r="F37" s="144" t="s">
        <v>25</v>
      </c>
      <c r="G37" s="144" t="s">
        <v>25</v>
      </c>
      <c r="H37" s="144" t="s">
        <v>67</v>
      </c>
      <c r="I37" s="144" t="s">
        <v>25</v>
      </c>
      <c r="J37" s="144">
        <v>916.22</v>
      </c>
      <c r="K37" s="144">
        <v>171.5</v>
      </c>
      <c r="L37" s="144">
        <v>45.776972628407897</v>
      </c>
      <c r="M37" s="144">
        <v>2.3823938653179599</v>
      </c>
      <c r="N37" s="144">
        <v>0</v>
      </c>
      <c r="O37" s="144">
        <v>0</v>
      </c>
      <c r="P37" s="144">
        <v>0</v>
      </c>
      <c r="Q37" s="144">
        <v>81.319256025436701</v>
      </c>
      <c r="R37" s="144">
        <v>13.492782002031101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276.457535485194</v>
      </c>
      <c r="Y37" s="144">
        <v>0</v>
      </c>
      <c r="Z37" s="144">
        <v>0</v>
      </c>
      <c r="AA37" s="144">
        <v>477.28188515379202</v>
      </c>
      <c r="AB37" s="144">
        <v>0</v>
      </c>
      <c r="AC37" s="144">
        <v>0</v>
      </c>
      <c r="AD37" s="144">
        <v>17.160969892147399</v>
      </c>
      <c r="AE37" s="144">
        <v>0</v>
      </c>
      <c r="AF37" s="144">
        <v>2.3436936308808098</v>
      </c>
      <c r="AG37" s="144">
        <v>0</v>
      </c>
      <c r="AH37" s="144">
        <v>0</v>
      </c>
      <c r="AI37" s="144">
        <v>0</v>
      </c>
      <c r="AJ37" s="144">
        <v>0</v>
      </c>
      <c r="AK37" s="144">
        <v>0</v>
      </c>
      <c r="AL37" s="144">
        <v>171.50343760978899</v>
      </c>
      <c r="AM37" s="144">
        <v>0</v>
      </c>
      <c r="AN37" s="144">
        <v>0</v>
      </c>
      <c r="AO37" s="144">
        <v>0</v>
      </c>
      <c r="AP37" s="144">
        <v>0</v>
      </c>
      <c r="AQ37" s="145">
        <v>0</v>
      </c>
    </row>
    <row r="38" spans="2:43" ht="12" customHeight="1" x14ac:dyDescent="0.3">
      <c r="B38" s="143" t="s">
        <v>40</v>
      </c>
      <c r="C38" s="144" t="s">
        <v>23</v>
      </c>
      <c r="D38" s="144" t="s">
        <v>41</v>
      </c>
      <c r="E38" s="144" t="s">
        <v>25</v>
      </c>
      <c r="F38" s="144" t="s">
        <v>25</v>
      </c>
      <c r="G38" s="144" t="s">
        <v>25</v>
      </c>
      <c r="H38" s="144" t="s">
        <v>67</v>
      </c>
      <c r="I38" s="144" t="s">
        <v>25</v>
      </c>
      <c r="J38" s="144">
        <v>916.22</v>
      </c>
      <c r="K38" s="144">
        <v>171.5</v>
      </c>
      <c r="L38" s="144">
        <v>45.776972628407897</v>
      </c>
      <c r="M38" s="144">
        <v>2.3823938653179599</v>
      </c>
      <c r="N38" s="144">
        <v>0</v>
      </c>
      <c r="O38" s="144">
        <v>0</v>
      </c>
      <c r="P38" s="144">
        <v>0</v>
      </c>
      <c r="Q38" s="144">
        <v>81.319256025436701</v>
      </c>
      <c r="R38" s="144">
        <v>13.492782002031101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276.457535485194</v>
      </c>
      <c r="Y38" s="144">
        <v>0</v>
      </c>
      <c r="Z38" s="144">
        <v>0</v>
      </c>
      <c r="AA38" s="144">
        <v>477.28188515379202</v>
      </c>
      <c r="AB38" s="144">
        <v>0</v>
      </c>
      <c r="AC38" s="144">
        <v>0</v>
      </c>
      <c r="AD38" s="144">
        <v>17.160969892147399</v>
      </c>
      <c r="AE38" s="144">
        <v>0</v>
      </c>
      <c r="AF38" s="144">
        <v>2.3436936308808098</v>
      </c>
      <c r="AG38" s="144">
        <v>0</v>
      </c>
      <c r="AH38" s="144">
        <v>0</v>
      </c>
      <c r="AI38" s="144">
        <v>0</v>
      </c>
      <c r="AJ38" s="144">
        <v>0</v>
      </c>
      <c r="AK38" s="144">
        <v>0</v>
      </c>
      <c r="AL38" s="144">
        <v>171.50343760978899</v>
      </c>
      <c r="AM38" s="144">
        <v>0</v>
      </c>
      <c r="AN38" s="144">
        <v>0</v>
      </c>
      <c r="AO38" s="144">
        <v>0</v>
      </c>
      <c r="AP38" s="144">
        <v>0</v>
      </c>
      <c r="AQ38" s="145">
        <v>0</v>
      </c>
    </row>
    <row r="39" spans="2:43" ht="12" customHeight="1" x14ac:dyDescent="0.3">
      <c r="B39" s="143" t="s">
        <v>40</v>
      </c>
      <c r="C39" s="144" t="s">
        <v>23</v>
      </c>
      <c r="D39" s="144" t="s">
        <v>41</v>
      </c>
      <c r="E39" s="144" t="s">
        <v>86</v>
      </c>
      <c r="F39" s="144" t="s">
        <v>25</v>
      </c>
      <c r="G39" s="144" t="s">
        <v>25</v>
      </c>
      <c r="H39" s="144" t="s">
        <v>67</v>
      </c>
      <c r="I39" s="144" t="s">
        <v>25</v>
      </c>
      <c r="J39" s="144">
        <v>896.72</v>
      </c>
      <c r="K39" s="144">
        <v>167.85</v>
      </c>
      <c r="L39" s="144">
        <v>44.802994487377902</v>
      </c>
      <c r="M39" s="144">
        <v>2.3317046341409902</v>
      </c>
      <c r="N39" s="144">
        <v>0</v>
      </c>
      <c r="O39" s="144">
        <v>0</v>
      </c>
      <c r="P39" s="144">
        <v>0</v>
      </c>
      <c r="Q39" s="144">
        <v>79.589059088725193</v>
      </c>
      <c r="R39" s="144">
        <v>13.205701533902801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270.57546026210503</v>
      </c>
      <c r="Y39" s="144">
        <v>0</v>
      </c>
      <c r="Z39" s="144">
        <v>0</v>
      </c>
      <c r="AA39" s="144">
        <v>467.12695142711601</v>
      </c>
      <c r="AB39" s="144">
        <v>0</v>
      </c>
      <c r="AC39" s="144">
        <v>0</v>
      </c>
      <c r="AD39" s="144">
        <v>16.795842873165501</v>
      </c>
      <c r="AE39" s="144">
        <v>0</v>
      </c>
      <c r="AF39" s="144">
        <v>2.2938278089471802</v>
      </c>
      <c r="AG39" s="144">
        <v>0</v>
      </c>
      <c r="AH39" s="144">
        <v>0</v>
      </c>
      <c r="AI39" s="144">
        <v>0</v>
      </c>
      <c r="AJ39" s="144">
        <v>0</v>
      </c>
      <c r="AK39" s="144">
        <v>0</v>
      </c>
      <c r="AL39" s="144">
        <v>167.85442829894299</v>
      </c>
      <c r="AM39" s="144">
        <v>0</v>
      </c>
      <c r="AN39" s="144">
        <v>0</v>
      </c>
      <c r="AO39" s="144">
        <v>0</v>
      </c>
      <c r="AP39" s="144">
        <v>0</v>
      </c>
      <c r="AQ39" s="145">
        <v>0</v>
      </c>
    </row>
    <row r="40" spans="2:43" ht="12" customHeight="1" x14ac:dyDescent="0.3">
      <c r="B40" s="143" t="s">
        <v>40</v>
      </c>
      <c r="C40" s="144" t="s">
        <v>84</v>
      </c>
      <c r="D40" s="144" t="s">
        <v>41</v>
      </c>
      <c r="E40" s="144" t="s">
        <v>85</v>
      </c>
      <c r="F40" s="144" t="s">
        <v>25</v>
      </c>
      <c r="G40" s="144" t="s">
        <v>25</v>
      </c>
      <c r="H40" s="144" t="s">
        <v>67</v>
      </c>
      <c r="I40" s="144" t="s">
        <v>25</v>
      </c>
      <c r="J40" s="144">
        <v>916.22</v>
      </c>
      <c r="K40" s="144">
        <v>171.5</v>
      </c>
      <c r="L40" s="144">
        <v>45.776972628407897</v>
      </c>
      <c r="M40" s="144">
        <v>2.3823938653179599</v>
      </c>
      <c r="N40" s="144">
        <v>0</v>
      </c>
      <c r="O40" s="144">
        <v>0</v>
      </c>
      <c r="P40" s="144">
        <v>0</v>
      </c>
      <c r="Q40" s="144">
        <v>81.319256025436701</v>
      </c>
      <c r="R40" s="144">
        <v>13.492782002031101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276.457535485194</v>
      </c>
      <c r="Y40" s="144">
        <v>0</v>
      </c>
      <c r="Z40" s="144">
        <v>0</v>
      </c>
      <c r="AA40" s="144">
        <v>477.28188515379202</v>
      </c>
      <c r="AB40" s="144">
        <v>0</v>
      </c>
      <c r="AC40" s="144">
        <v>0</v>
      </c>
      <c r="AD40" s="144">
        <v>17.160969892147399</v>
      </c>
      <c r="AE40" s="144">
        <v>0</v>
      </c>
      <c r="AF40" s="144">
        <v>2.3436936308808098</v>
      </c>
      <c r="AG40" s="144">
        <v>0</v>
      </c>
      <c r="AH40" s="144">
        <v>0</v>
      </c>
      <c r="AI40" s="144">
        <v>0</v>
      </c>
      <c r="AJ40" s="144">
        <v>0</v>
      </c>
      <c r="AK40" s="144">
        <v>0</v>
      </c>
      <c r="AL40" s="144">
        <v>171.50343760978899</v>
      </c>
      <c r="AM40" s="144">
        <v>0</v>
      </c>
      <c r="AN40" s="144">
        <v>0</v>
      </c>
      <c r="AO40" s="144">
        <v>0</v>
      </c>
      <c r="AP40" s="144">
        <v>0</v>
      </c>
      <c r="AQ40" s="145">
        <v>0</v>
      </c>
    </row>
    <row r="41" spans="2:43" ht="12" customHeight="1" x14ac:dyDescent="0.3">
      <c r="B41" s="143" t="s">
        <v>40</v>
      </c>
      <c r="C41" s="144" t="s">
        <v>84</v>
      </c>
      <c r="D41" s="144" t="s">
        <v>41</v>
      </c>
      <c r="E41" s="144" t="s">
        <v>25</v>
      </c>
      <c r="F41" s="144" t="s">
        <v>25</v>
      </c>
      <c r="G41" s="144" t="s">
        <v>25</v>
      </c>
      <c r="H41" s="144" t="s">
        <v>67</v>
      </c>
      <c r="I41" s="144" t="s">
        <v>25</v>
      </c>
      <c r="J41" s="144">
        <v>916.22</v>
      </c>
      <c r="K41" s="144">
        <v>171.5</v>
      </c>
      <c r="L41" s="144">
        <v>45.776972628407897</v>
      </c>
      <c r="M41" s="144">
        <v>2.3823938653179599</v>
      </c>
      <c r="N41" s="144">
        <v>0</v>
      </c>
      <c r="O41" s="144">
        <v>0</v>
      </c>
      <c r="P41" s="144">
        <v>0</v>
      </c>
      <c r="Q41" s="144">
        <v>81.319256025436701</v>
      </c>
      <c r="R41" s="144">
        <v>13.492782002031101</v>
      </c>
      <c r="S41" s="144">
        <v>0</v>
      </c>
      <c r="T41" s="144">
        <v>0</v>
      </c>
      <c r="U41" s="144">
        <v>0</v>
      </c>
      <c r="V41" s="144">
        <v>0</v>
      </c>
      <c r="W41" s="144">
        <v>0</v>
      </c>
      <c r="X41" s="144">
        <v>276.457535485194</v>
      </c>
      <c r="Y41" s="144">
        <v>0</v>
      </c>
      <c r="Z41" s="144">
        <v>0</v>
      </c>
      <c r="AA41" s="144">
        <v>477.28188515379202</v>
      </c>
      <c r="AB41" s="144">
        <v>0</v>
      </c>
      <c r="AC41" s="144">
        <v>0</v>
      </c>
      <c r="AD41" s="144">
        <v>17.160969892147399</v>
      </c>
      <c r="AE41" s="144">
        <v>0</v>
      </c>
      <c r="AF41" s="144">
        <v>2.3436936308808098</v>
      </c>
      <c r="AG41" s="144">
        <v>0</v>
      </c>
      <c r="AH41" s="144">
        <v>0</v>
      </c>
      <c r="AI41" s="144">
        <v>0</v>
      </c>
      <c r="AJ41" s="144">
        <v>0</v>
      </c>
      <c r="AK41" s="144">
        <v>0</v>
      </c>
      <c r="AL41" s="144">
        <v>171.50343760978899</v>
      </c>
      <c r="AM41" s="144">
        <v>0</v>
      </c>
      <c r="AN41" s="144">
        <v>0</v>
      </c>
      <c r="AO41" s="144">
        <v>0</v>
      </c>
      <c r="AP41" s="144">
        <v>0</v>
      </c>
      <c r="AQ41" s="145">
        <v>0</v>
      </c>
    </row>
    <row r="42" spans="2:43" ht="12" customHeight="1" x14ac:dyDescent="0.3">
      <c r="B42" s="143" t="s">
        <v>40</v>
      </c>
      <c r="C42" s="144" t="s">
        <v>84</v>
      </c>
      <c r="D42" s="144" t="s">
        <v>41</v>
      </c>
      <c r="E42" s="144" t="s">
        <v>86</v>
      </c>
      <c r="F42" s="144" t="s">
        <v>25</v>
      </c>
      <c r="G42" s="144" t="s">
        <v>25</v>
      </c>
      <c r="H42" s="144" t="s">
        <v>67</v>
      </c>
      <c r="I42" s="144" t="s">
        <v>25</v>
      </c>
      <c r="J42" s="144">
        <v>896.72</v>
      </c>
      <c r="K42" s="144">
        <v>167.85</v>
      </c>
      <c r="L42" s="144">
        <v>44.802994487377902</v>
      </c>
      <c r="M42" s="144">
        <v>2.3317046341409902</v>
      </c>
      <c r="N42" s="144">
        <v>0</v>
      </c>
      <c r="O42" s="144">
        <v>0</v>
      </c>
      <c r="P42" s="144">
        <v>0</v>
      </c>
      <c r="Q42" s="144">
        <v>79.589059088725193</v>
      </c>
      <c r="R42" s="144">
        <v>13.205701533902801</v>
      </c>
      <c r="S42" s="144">
        <v>0</v>
      </c>
      <c r="T42" s="144">
        <v>0</v>
      </c>
      <c r="U42" s="144">
        <v>0</v>
      </c>
      <c r="V42" s="144">
        <v>0</v>
      </c>
      <c r="W42" s="144">
        <v>0</v>
      </c>
      <c r="X42" s="144">
        <v>270.57546026210503</v>
      </c>
      <c r="Y42" s="144">
        <v>0</v>
      </c>
      <c r="Z42" s="144">
        <v>0</v>
      </c>
      <c r="AA42" s="144">
        <v>467.12695142711601</v>
      </c>
      <c r="AB42" s="144">
        <v>0</v>
      </c>
      <c r="AC42" s="144">
        <v>0</v>
      </c>
      <c r="AD42" s="144">
        <v>16.795842873165501</v>
      </c>
      <c r="AE42" s="144">
        <v>0</v>
      </c>
      <c r="AF42" s="144">
        <v>2.2938278089471802</v>
      </c>
      <c r="AG42" s="144">
        <v>0</v>
      </c>
      <c r="AH42" s="144">
        <v>0</v>
      </c>
      <c r="AI42" s="144">
        <v>0</v>
      </c>
      <c r="AJ42" s="144">
        <v>0</v>
      </c>
      <c r="AK42" s="144">
        <v>0</v>
      </c>
      <c r="AL42" s="144">
        <v>167.85442829894299</v>
      </c>
      <c r="AM42" s="144">
        <v>0</v>
      </c>
      <c r="AN42" s="144">
        <v>0</v>
      </c>
      <c r="AO42" s="144">
        <v>0</v>
      </c>
      <c r="AP42" s="144">
        <v>0</v>
      </c>
      <c r="AQ42" s="145">
        <v>0</v>
      </c>
    </row>
    <row r="43" spans="2:43" ht="12" customHeight="1" x14ac:dyDescent="0.3">
      <c r="B43" s="143" t="s">
        <v>33</v>
      </c>
      <c r="C43" s="144" t="s">
        <v>82</v>
      </c>
      <c r="D43" s="144" t="s">
        <v>25</v>
      </c>
      <c r="E43" s="144" t="s">
        <v>25</v>
      </c>
      <c r="F43" s="144" t="s">
        <v>25</v>
      </c>
      <c r="G43" s="144" t="s">
        <v>38</v>
      </c>
      <c r="H43" s="144" t="s">
        <v>67</v>
      </c>
      <c r="I43" s="144" t="s">
        <v>25</v>
      </c>
      <c r="J43" s="144">
        <v>2899.14</v>
      </c>
      <c r="K43" s="144">
        <v>182.45</v>
      </c>
      <c r="L43" s="144">
        <v>48.698907051497798</v>
      </c>
      <c r="M43" s="144">
        <v>2.5344615588488999</v>
      </c>
      <c r="N43" s="144">
        <v>0</v>
      </c>
      <c r="O43" s="144">
        <v>0</v>
      </c>
      <c r="P43" s="144">
        <v>0</v>
      </c>
      <c r="Q43" s="144">
        <v>86.509846835570897</v>
      </c>
      <c r="R43" s="144">
        <v>14.354023406416101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999.95054147580595</v>
      </c>
      <c r="Y43" s="144">
        <v>0</v>
      </c>
      <c r="Z43" s="144">
        <v>0</v>
      </c>
      <c r="AA43" s="144">
        <v>1726.3387778567601</v>
      </c>
      <c r="AB43" s="144">
        <v>0</v>
      </c>
      <c r="AC43" s="144">
        <v>0</v>
      </c>
      <c r="AD43" s="144">
        <v>18.256350949093001</v>
      </c>
      <c r="AE43" s="144">
        <v>0</v>
      </c>
      <c r="AF43" s="144">
        <v>2.4932910966817201</v>
      </c>
      <c r="AG43" s="144">
        <v>0</v>
      </c>
      <c r="AH43" s="144">
        <v>0</v>
      </c>
      <c r="AI43" s="144">
        <v>0</v>
      </c>
      <c r="AJ43" s="144">
        <v>0</v>
      </c>
      <c r="AK43" s="144">
        <v>0</v>
      </c>
      <c r="AL43" s="144">
        <v>182.450465542329</v>
      </c>
      <c r="AM43" s="144">
        <v>0</v>
      </c>
      <c r="AN43" s="144">
        <v>0</v>
      </c>
      <c r="AO43" s="144">
        <v>0</v>
      </c>
      <c r="AP43" s="144">
        <v>0</v>
      </c>
      <c r="AQ43" s="145">
        <v>0</v>
      </c>
    </row>
    <row r="44" spans="2:43" ht="12" customHeight="1" x14ac:dyDescent="0.3">
      <c r="B44" s="143" t="s">
        <v>33</v>
      </c>
      <c r="C44" s="144" t="s">
        <v>82</v>
      </c>
      <c r="D44" s="144" t="s">
        <v>25</v>
      </c>
      <c r="E44" s="144" t="s">
        <v>25</v>
      </c>
      <c r="F44" s="144" t="s">
        <v>25</v>
      </c>
      <c r="G44" s="144" t="s">
        <v>493</v>
      </c>
      <c r="H44" s="144" t="s">
        <v>67</v>
      </c>
      <c r="I44" s="144" t="s">
        <v>25</v>
      </c>
      <c r="J44" s="144">
        <v>1808.62</v>
      </c>
      <c r="K44" s="144">
        <v>182.45</v>
      </c>
      <c r="L44" s="144">
        <v>48.698907051497798</v>
      </c>
      <c r="M44" s="144">
        <v>2.5344615588488999</v>
      </c>
      <c r="N44" s="144">
        <v>0</v>
      </c>
      <c r="O44" s="144">
        <v>0</v>
      </c>
      <c r="P44" s="144">
        <v>0</v>
      </c>
      <c r="Q44" s="144">
        <v>86.509846835570897</v>
      </c>
      <c r="R44" s="144">
        <v>14.354023406416101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599.971042822909</v>
      </c>
      <c r="Y44" s="144">
        <v>0</v>
      </c>
      <c r="Z44" s="144">
        <v>0</v>
      </c>
      <c r="AA44" s="144">
        <v>1035.8031559096401</v>
      </c>
      <c r="AB44" s="144">
        <v>0</v>
      </c>
      <c r="AC44" s="144">
        <v>0</v>
      </c>
      <c r="AD44" s="144">
        <v>18.256350949093001</v>
      </c>
      <c r="AE44" s="144">
        <v>0</v>
      </c>
      <c r="AF44" s="144">
        <v>2.4932910966817201</v>
      </c>
      <c r="AG44" s="144">
        <v>0</v>
      </c>
      <c r="AH44" s="144">
        <v>0</v>
      </c>
      <c r="AI44" s="144">
        <v>0</v>
      </c>
      <c r="AJ44" s="144">
        <v>0</v>
      </c>
      <c r="AK44" s="144">
        <v>0</v>
      </c>
      <c r="AL44" s="144">
        <v>182.450465542329</v>
      </c>
      <c r="AM44" s="144">
        <v>0</v>
      </c>
      <c r="AN44" s="144">
        <v>0</v>
      </c>
      <c r="AO44" s="144">
        <v>0</v>
      </c>
      <c r="AP44" s="144">
        <v>0</v>
      </c>
      <c r="AQ44" s="145">
        <v>0</v>
      </c>
    </row>
    <row r="45" spans="2:43" ht="12" customHeight="1" x14ac:dyDescent="0.3">
      <c r="B45" s="143" t="s">
        <v>33</v>
      </c>
      <c r="C45" s="144" t="s">
        <v>82</v>
      </c>
      <c r="D45" s="144" t="s">
        <v>25</v>
      </c>
      <c r="E45" s="144" t="s">
        <v>25</v>
      </c>
      <c r="F45" s="144" t="s">
        <v>25</v>
      </c>
      <c r="G45" s="144" t="s">
        <v>39</v>
      </c>
      <c r="H45" s="144" t="s">
        <v>67</v>
      </c>
      <c r="I45" s="144" t="s">
        <v>25</v>
      </c>
      <c r="J45" s="144">
        <v>718.11</v>
      </c>
      <c r="K45" s="144">
        <v>182.45</v>
      </c>
      <c r="L45" s="144">
        <v>48.698907051497798</v>
      </c>
      <c r="M45" s="144">
        <v>2.5344615588488999</v>
      </c>
      <c r="N45" s="144">
        <v>0</v>
      </c>
      <c r="O45" s="144">
        <v>0</v>
      </c>
      <c r="P45" s="144">
        <v>0</v>
      </c>
      <c r="Q45" s="144">
        <v>86.509846835570897</v>
      </c>
      <c r="R45" s="144">
        <v>14.354023406416101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199.99154417001199</v>
      </c>
      <c r="Y45" s="144">
        <v>0</v>
      </c>
      <c r="Z45" s="144">
        <v>0</v>
      </c>
      <c r="AA45" s="144">
        <v>345.26775557135102</v>
      </c>
      <c r="AB45" s="144">
        <v>0</v>
      </c>
      <c r="AC45" s="144">
        <v>0</v>
      </c>
      <c r="AD45" s="144">
        <v>18.256350949093001</v>
      </c>
      <c r="AE45" s="144">
        <v>0</v>
      </c>
      <c r="AF45" s="144">
        <v>2.4932910966817201</v>
      </c>
      <c r="AG45" s="144">
        <v>0</v>
      </c>
      <c r="AH45" s="144">
        <v>0</v>
      </c>
      <c r="AI45" s="144">
        <v>0</v>
      </c>
      <c r="AJ45" s="144">
        <v>0</v>
      </c>
      <c r="AK45" s="144">
        <v>0</v>
      </c>
      <c r="AL45" s="144">
        <v>182.450465542329</v>
      </c>
      <c r="AM45" s="144">
        <v>0</v>
      </c>
      <c r="AN45" s="144">
        <v>0</v>
      </c>
      <c r="AO45" s="144">
        <v>0</v>
      </c>
      <c r="AP45" s="144">
        <v>0</v>
      </c>
      <c r="AQ45" s="145">
        <v>0</v>
      </c>
    </row>
    <row r="46" spans="2:43" ht="12" customHeight="1" x14ac:dyDescent="0.3">
      <c r="B46" s="143" t="s">
        <v>33</v>
      </c>
      <c r="C46" s="144" t="s">
        <v>23</v>
      </c>
      <c r="D46" s="144" t="s">
        <v>25</v>
      </c>
      <c r="E46" s="144" t="s">
        <v>25</v>
      </c>
      <c r="F46" s="144" t="s">
        <v>25</v>
      </c>
      <c r="G46" s="144" t="s">
        <v>25</v>
      </c>
      <c r="H46" s="144" t="s">
        <v>67</v>
      </c>
      <c r="I46" s="144" t="s">
        <v>25</v>
      </c>
      <c r="J46" s="144">
        <v>974.7</v>
      </c>
      <c r="K46" s="144">
        <v>182.45</v>
      </c>
      <c r="L46" s="144">
        <v>48.698907051497798</v>
      </c>
      <c r="M46" s="144">
        <v>2.5344615588488999</v>
      </c>
      <c r="N46" s="144">
        <v>0</v>
      </c>
      <c r="O46" s="144">
        <v>0</v>
      </c>
      <c r="P46" s="144">
        <v>0</v>
      </c>
      <c r="Q46" s="144">
        <v>86.509846835570897</v>
      </c>
      <c r="R46" s="144">
        <v>14.354023406416101</v>
      </c>
      <c r="S46" s="144">
        <v>0</v>
      </c>
      <c r="T46" s="144">
        <v>0</v>
      </c>
      <c r="U46" s="144">
        <v>0</v>
      </c>
      <c r="V46" s="144">
        <v>0</v>
      </c>
      <c r="W46" s="144">
        <v>0</v>
      </c>
      <c r="X46" s="144">
        <v>294.10376115446201</v>
      </c>
      <c r="Y46" s="144">
        <v>0</v>
      </c>
      <c r="Z46" s="144">
        <v>0</v>
      </c>
      <c r="AA46" s="144">
        <v>507.746686333821</v>
      </c>
      <c r="AB46" s="144">
        <v>0</v>
      </c>
      <c r="AC46" s="144">
        <v>0</v>
      </c>
      <c r="AD46" s="144">
        <v>18.256350949093001</v>
      </c>
      <c r="AE46" s="144">
        <v>0</v>
      </c>
      <c r="AF46" s="144">
        <v>2.4932910966817201</v>
      </c>
      <c r="AG46" s="144">
        <v>0</v>
      </c>
      <c r="AH46" s="144">
        <v>0</v>
      </c>
      <c r="AI46" s="144">
        <v>0</v>
      </c>
      <c r="AJ46" s="144">
        <v>0</v>
      </c>
      <c r="AK46" s="144">
        <v>0</v>
      </c>
      <c r="AL46" s="144">
        <v>182.450465542329</v>
      </c>
      <c r="AM46" s="144">
        <v>0</v>
      </c>
      <c r="AN46" s="144">
        <v>0</v>
      </c>
      <c r="AO46" s="144">
        <v>0</v>
      </c>
      <c r="AP46" s="144">
        <v>0</v>
      </c>
      <c r="AQ46" s="145">
        <v>0</v>
      </c>
    </row>
    <row r="47" spans="2:43" ht="12" customHeight="1" x14ac:dyDescent="0.3">
      <c r="B47" s="143" t="s">
        <v>33</v>
      </c>
      <c r="C47" s="144" t="s">
        <v>84</v>
      </c>
      <c r="D47" s="144" t="s">
        <v>25</v>
      </c>
      <c r="E47" s="144" t="s">
        <v>25</v>
      </c>
      <c r="F47" s="144" t="s">
        <v>25</v>
      </c>
      <c r="G47" s="144" t="s">
        <v>25</v>
      </c>
      <c r="H47" s="144" t="s">
        <v>67</v>
      </c>
      <c r="I47" s="144" t="s">
        <v>25</v>
      </c>
      <c r="J47" s="144">
        <v>974.7</v>
      </c>
      <c r="K47" s="144">
        <v>182.45</v>
      </c>
      <c r="L47" s="144">
        <v>48.698907051497798</v>
      </c>
      <c r="M47" s="144">
        <v>2.5344615588488999</v>
      </c>
      <c r="N47" s="144">
        <v>0</v>
      </c>
      <c r="O47" s="144">
        <v>0</v>
      </c>
      <c r="P47" s="144">
        <v>0</v>
      </c>
      <c r="Q47" s="144">
        <v>86.509846835570897</v>
      </c>
      <c r="R47" s="144">
        <v>14.354023406416101</v>
      </c>
      <c r="S47" s="144">
        <v>0</v>
      </c>
      <c r="T47" s="144">
        <v>0</v>
      </c>
      <c r="U47" s="144">
        <v>0</v>
      </c>
      <c r="V47" s="144">
        <v>0</v>
      </c>
      <c r="W47" s="144">
        <v>0</v>
      </c>
      <c r="X47" s="144">
        <v>294.10376115446201</v>
      </c>
      <c r="Y47" s="144">
        <v>0</v>
      </c>
      <c r="Z47" s="144">
        <v>0</v>
      </c>
      <c r="AA47" s="144">
        <v>507.746686333821</v>
      </c>
      <c r="AB47" s="144">
        <v>0</v>
      </c>
      <c r="AC47" s="144">
        <v>0</v>
      </c>
      <c r="AD47" s="144">
        <v>18.256350949093001</v>
      </c>
      <c r="AE47" s="144">
        <v>0</v>
      </c>
      <c r="AF47" s="144">
        <v>2.4932910966817201</v>
      </c>
      <c r="AG47" s="144">
        <v>0</v>
      </c>
      <c r="AH47" s="144">
        <v>0</v>
      </c>
      <c r="AI47" s="144">
        <v>0</v>
      </c>
      <c r="AJ47" s="144">
        <v>0</v>
      </c>
      <c r="AK47" s="144">
        <v>0</v>
      </c>
      <c r="AL47" s="144">
        <v>182.450465542329</v>
      </c>
      <c r="AM47" s="144">
        <v>0</v>
      </c>
      <c r="AN47" s="144">
        <v>0</v>
      </c>
      <c r="AO47" s="144">
        <v>0</v>
      </c>
      <c r="AP47" s="144">
        <v>0</v>
      </c>
      <c r="AQ47" s="145">
        <v>0</v>
      </c>
    </row>
    <row r="48" spans="2:43" ht="12" customHeight="1" x14ac:dyDescent="0.3">
      <c r="B48" s="143" t="s">
        <v>43</v>
      </c>
      <c r="C48" s="144" t="s">
        <v>23</v>
      </c>
      <c r="D48" s="144" t="s">
        <v>44</v>
      </c>
      <c r="E48" s="144" t="s">
        <v>45</v>
      </c>
      <c r="F48" s="144" t="s">
        <v>25</v>
      </c>
      <c r="G48" s="144" t="s">
        <v>25</v>
      </c>
      <c r="H48" s="144" t="s">
        <v>67</v>
      </c>
      <c r="I48" s="144" t="s">
        <v>25</v>
      </c>
      <c r="J48" s="144">
        <v>516.59</v>
      </c>
      <c r="K48" s="144">
        <v>96.7</v>
      </c>
      <c r="L48" s="144">
        <v>25.8104207372938</v>
      </c>
      <c r="M48" s="144">
        <v>1.3432646261899199</v>
      </c>
      <c r="N48" s="144">
        <v>0</v>
      </c>
      <c r="O48" s="144">
        <v>0</v>
      </c>
      <c r="P48" s="144">
        <v>0</v>
      </c>
      <c r="Q48" s="144">
        <v>45.850218822852597</v>
      </c>
      <c r="R48" s="144">
        <v>7.6076324054005298</v>
      </c>
      <c r="S48" s="144">
        <v>0</v>
      </c>
      <c r="T48" s="144">
        <v>0</v>
      </c>
      <c r="U48" s="144">
        <v>0</v>
      </c>
      <c r="V48" s="144">
        <v>0</v>
      </c>
      <c r="W48" s="144">
        <v>0</v>
      </c>
      <c r="X48" s="144">
        <v>155.87499341186501</v>
      </c>
      <c r="Y48" s="144">
        <v>0</v>
      </c>
      <c r="Z48" s="144">
        <v>0</v>
      </c>
      <c r="AA48" s="144">
        <v>269.10574375692499</v>
      </c>
      <c r="AB48" s="144">
        <v>0</v>
      </c>
      <c r="AC48" s="144">
        <v>0</v>
      </c>
      <c r="AD48" s="144">
        <v>9.67586600301928</v>
      </c>
      <c r="AE48" s="144">
        <v>0</v>
      </c>
      <c r="AF48" s="144">
        <v>1.3214442812413101</v>
      </c>
      <c r="AG48" s="144">
        <v>0</v>
      </c>
      <c r="AH48" s="144">
        <v>0</v>
      </c>
      <c r="AI48" s="144">
        <v>0</v>
      </c>
      <c r="AJ48" s="144">
        <v>0</v>
      </c>
      <c r="AK48" s="144">
        <v>0</v>
      </c>
      <c r="AL48" s="144">
        <v>96.698746737434405</v>
      </c>
      <c r="AM48" s="144">
        <v>0</v>
      </c>
      <c r="AN48" s="144">
        <v>0</v>
      </c>
      <c r="AO48" s="144">
        <v>0</v>
      </c>
      <c r="AP48" s="144">
        <v>0</v>
      </c>
      <c r="AQ48" s="145">
        <v>0</v>
      </c>
    </row>
    <row r="49" spans="2:43" ht="12" customHeight="1" x14ac:dyDescent="0.3">
      <c r="B49" s="146" t="s">
        <v>43</v>
      </c>
      <c r="C49" s="147" t="s">
        <v>23</v>
      </c>
      <c r="D49" s="147" t="s">
        <v>44</v>
      </c>
      <c r="E49" s="147" t="s">
        <v>87</v>
      </c>
      <c r="F49" s="147" t="s">
        <v>25</v>
      </c>
      <c r="G49" s="147" t="s">
        <v>25</v>
      </c>
      <c r="H49" s="147" t="s">
        <v>67</v>
      </c>
      <c r="I49" s="147" t="s">
        <v>25</v>
      </c>
      <c r="J49" s="147">
        <v>565.32000000000005</v>
      </c>
      <c r="K49" s="147">
        <v>105.82</v>
      </c>
      <c r="L49" s="147">
        <v>28.2453660898687</v>
      </c>
      <c r="M49" s="147">
        <v>1.4699877041323599</v>
      </c>
      <c r="N49" s="147">
        <v>0</v>
      </c>
      <c r="O49" s="147">
        <v>0</v>
      </c>
      <c r="P49" s="147">
        <v>0</v>
      </c>
      <c r="Q49" s="147">
        <v>50.175711164631103</v>
      </c>
      <c r="R49" s="147">
        <v>8.3253335757213396</v>
      </c>
      <c r="S49" s="147">
        <v>0</v>
      </c>
      <c r="T49" s="147">
        <v>0</v>
      </c>
      <c r="U49" s="147">
        <v>0</v>
      </c>
      <c r="V49" s="147">
        <v>0</v>
      </c>
      <c r="W49" s="147">
        <v>0</v>
      </c>
      <c r="X49" s="147">
        <v>170.58018146958801</v>
      </c>
      <c r="Y49" s="147">
        <v>0</v>
      </c>
      <c r="Z49" s="147">
        <v>0</v>
      </c>
      <c r="AA49" s="147">
        <v>294.493078073616</v>
      </c>
      <c r="AB49" s="147">
        <v>0</v>
      </c>
      <c r="AC49" s="147">
        <v>0</v>
      </c>
      <c r="AD49" s="147">
        <v>10.588683550473901</v>
      </c>
      <c r="AE49" s="147">
        <v>0</v>
      </c>
      <c r="AF49" s="147">
        <v>1.4461088360754</v>
      </c>
      <c r="AG49" s="147">
        <v>0</v>
      </c>
      <c r="AH49" s="147">
        <v>0</v>
      </c>
      <c r="AI49" s="147">
        <v>0</v>
      </c>
      <c r="AJ49" s="147">
        <v>0</v>
      </c>
      <c r="AK49" s="147">
        <v>0</v>
      </c>
      <c r="AL49" s="147">
        <v>105.821270014551</v>
      </c>
      <c r="AM49" s="147">
        <v>0</v>
      </c>
      <c r="AN49" s="147">
        <v>0</v>
      </c>
      <c r="AO49" s="147">
        <v>0</v>
      </c>
      <c r="AP49" s="147">
        <v>0</v>
      </c>
      <c r="AQ49" s="148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58F6-44AD-4D0B-A8EF-4A66CC5E720E}">
  <dimension ref="B1:AQ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0.88671875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9" t="s">
        <v>1020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1021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3">
      <c r="L2" s="151" t="s">
        <v>348</v>
      </c>
      <c r="M2" s="151"/>
      <c r="N2" s="151"/>
      <c r="O2" s="151"/>
      <c r="P2" s="151"/>
      <c r="Q2" s="151"/>
      <c r="R2" s="151"/>
      <c r="S2" s="152"/>
      <c r="T2" s="151" t="s">
        <v>357</v>
      </c>
      <c r="U2" s="151"/>
      <c r="V2" s="151"/>
      <c r="W2" s="151"/>
      <c r="X2" s="151"/>
      <c r="Y2" s="151"/>
      <c r="Z2" s="152"/>
      <c r="AA2" s="153" t="s">
        <v>365</v>
      </c>
      <c r="AB2" s="151" t="s">
        <v>25</v>
      </c>
      <c r="AC2" s="152"/>
      <c r="AD2" s="151" t="s">
        <v>1019</v>
      </c>
      <c r="AE2" s="151"/>
      <c r="AF2" s="151"/>
      <c r="AG2" s="152"/>
      <c r="AH2" s="151" t="s">
        <v>348</v>
      </c>
      <c r="AI2" s="151"/>
      <c r="AJ2" s="151"/>
      <c r="AK2" s="152"/>
      <c r="AL2" s="153" t="s">
        <v>378</v>
      </c>
      <c r="AM2" s="151" t="s">
        <v>357</v>
      </c>
      <c r="AN2" s="151"/>
      <c r="AO2" s="151"/>
      <c r="AP2" s="152"/>
      <c r="AQ2" s="154" t="s">
        <v>1019</v>
      </c>
    </row>
    <row r="3" spans="2:43" ht="12" customHeight="1" x14ac:dyDescent="0.3">
      <c r="B3" s="140" t="s">
        <v>57</v>
      </c>
      <c r="C3" s="141" t="s">
        <v>58</v>
      </c>
      <c r="D3" s="141" t="s">
        <v>59</v>
      </c>
      <c r="E3" s="141" t="s">
        <v>60</v>
      </c>
      <c r="F3" s="141" t="s">
        <v>61</v>
      </c>
      <c r="G3" s="141" t="s">
        <v>63</v>
      </c>
      <c r="H3" s="141" t="s">
        <v>64</v>
      </c>
      <c r="I3" s="141" t="s">
        <v>625</v>
      </c>
      <c r="J3" s="141" t="s">
        <v>984</v>
      </c>
      <c r="K3" s="141" t="s">
        <v>985</v>
      </c>
      <c r="L3" s="141" t="s">
        <v>986</v>
      </c>
      <c r="M3" s="141" t="s">
        <v>987</v>
      </c>
      <c r="N3" s="141" t="s">
        <v>988</v>
      </c>
      <c r="O3" s="141" t="s">
        <v>989</v>
      </c>
      <c r="P3" s="141" t="s">
        <v>990</v>
      </c>
      <c r="Q3" s="141" t="s">
        <v>991</v>
      </c>
      <c r="R3" s="141" t="s">
        <v>992</v>
      </c>
      <c r="S3" s="141" t="s">
        <v>993</v>
      </c>
      <c r="T3" s="141" t="s">
        <v>994</v>
      </c>
      <c r="U3" s="141" t="s">
        <v>995</v>
      </c>
      <c r="V3" s="141" t="s">
        <v>996</v>
      </c>
      <c r="W3" s="141" t="s">
        <v>997</v>
      </c>
      <c r="X3" s="141" t="s">
        <v>998</v>
      </c>
      <c r="Y3" s="141" t="s">
        <v>999</v>
      </c>
      <c r="Z3" s="141" t="s">
        <v>1000</v>
      </c>
      <c r="AA3" s="141" t="s">
        <v>1001</v>
      </c>
      <c r="AB3" s="141" t="s">
        <v>1002</v>
      </c>
      <c r="AC3" s="141" t="s">
        <v>1003</v>
      </c>
      <c r="AD3" s="141" t="s">
        <v>1004</v>
      </c>
      <c r="AE3" s="141" t="s">
        <v>1005</v>
      </c>
      <c r="AF3" s="141" t="s">
        <v>1006</v>
      </c>
      <c r="AG3" s="141" t="s">
        <v>1007</v>
      </c>
      <c r="AH3" s="141" t="s">
        <v>1008</v>
      </c>
      <c r="AI3" s="141" t="s">
        <v>1009</v>
      </c>
      <c r="AJ3" s="141" t="s">
        <v>1010</v>
      </c>
      <c r="AK3" s="141" t="s">
        <v>1011</v>
      </c>
      <c r="AL3" s="141" t="s">
        <v>1012</v>
      </c>
      <c r="AM3" s="141" t="s">
        <v>1013</v>
      </c>
      <c r="AN3" s="141" t="s">
        <v>1014</v>
      </c>
      <c r="AO3" s="141" t="s">
        <v>1015</v>
      </c>
      <c r="AP3" s="141" t="s">
        <v>1016</v>
      </c>
      <c r="AQ3" s="142" t="s">
        <v>1017</v>
      </c>
    </row>
    <row r="4" spans="2:43" ht="12" customHeight="1" x14ac:dyDescent="0.3">
      <c r="B4" s="143" t="s">
        <v>36</v>
      </c>
      <c r="C4" s="144" t="s">
        <v>70</v>
      </c>
      <c r="D4" s="144" t="s">
        <v>25</v>
      </c>
      <c r="E4" s="144" t="s">
        <v>25</v>
      </c>
      <c r="F4" s="144" t="s">
        <v>75</v>
      </c>
      <c r="G4" s="144" t="s">
        <v>38</v>
      </c>
      <c r="H4" s="144" t="s">
        <v>67</v>
      </c>
      <c r="I4" s="144" t="s">
        <v>25</v>
      </c>
      <c r="J4" s="144">
        <v>0</v>
      </c>
      <c r="K4" s="144">
        <v>0</v>
      </c>
      <c r="L4" s="144">
        <v>0</v>
      </c>
      <c r="M4" s="144">
        <v>0</v>
      </c>
      <c r="N4" s="144">
        <v>0</v>
      </c>
      <c r="O4" s="144">
        <v>0</v>
      </c>
      <c r="P4" s="144">
        <v>0</v>
      </c>
      <c r="Q4" s="144">
        <v>0</v>
      </c>
      <c r="R4" s="144">
        <v>0</v>
      </c>
      <c r="S4" s="144">
        <v>0</v>
      </c>
      <c r="T4" s="144">
        <v>0</v>
      </c>
      <c r="U4" s="144">
        <v>0</v>
      </c>
      <c r="V4" s="144">
        <v>0</v>
      </c>
      <c r="W4" s="144">
        <v>0</v>
      </c>
      <c r="X4" s="144">
        <v>0</v>
      </c>
      <c r="Y4" s="144">
        <v>0</v>
      </c>
      <c r="Z4" s="144">
        <v>0</v>
      </c>
      <c r="AA4" s="144">
        <v>0</v>
      </c>
      <c r="AB4" s="144">
        <v>0</v>
      </c>
      <c r="AC4" s="144">
        <v>0</v>
      </c>
      <c r="AD4" s="144">
        <v>0</v>
      </c>
      <c r="AE4" s="144">
        <v>0</v>
      </c>
      <c r="AF4" s="144">
        <v>0</v>
      </c>
      <c r="AG4" s="144">
        <v>0</v>
      </c>
      <c r="AH4" s="144">
        <v>0</v>
      </c>
      <c r="AI4" s="144">
        <v>0</v>
      </c>
      <c r="AJ4" s="144">
        <v>0</v>
      </c>
      <c r="AK4" s="144">
        <v>0</v>
      </c>
      <c r="AL4" s="144">
        <v>0</v>
      </c>
      <c r="AM4" s="144">
        <v>0</v>
      </c>
      <c r="AN4" s="144">
        <v>0</v>
      </c>
      <c r="AO4" s="144">
        <v>0</v>
      </c>
      <c r="AP4" s="144">
        <v>0</v>
      </c>
      <c r="AQ4" s="145">
        <v>0</v>
      </c>
    </row>
    <row r="5" spans="2:43" ht="12" customHeight="1" x14ac:dyDescent="0.3">
      <c r="B5" s="143" t="s">
        <v>36</v>
      </c>
      <c r="C5" s="144" t="s">
        <v>70</v>
      </c>
      <c r="D5" s="144" t="s">
        <v>25</v>
      </c>
      <c r="E5" s="144" t="s">
        <v>25</v>
      </c>
      <c r="F5" s="144" t="s">
        <v>75</v>
      </c>
      <c r="G5" s="144" t="s">
        <v>38</v>
      </c>
      <c r="H5" s="144" t="s">
        <v>71</v>
      </c>
      <c r="I5" s="144" t="s">
        <v>25</v>
      </c>
      <c r="J5" s="144">
        <v>0</v>
      </c>
      <c r="K5" s="144">
        <v>0</v>
      </c>
      <c r="L5" s="144">
        <v>0</v>
      </c>
      <c r="M5" s="144">
        <v>0</v>
      </c>
      <c r="N5" s="144">
        <v>0</v>
      </c>
      <c r="O5" s="144">
        <v>0</v>
      </c>
      <c r="P5" s="144">
        <v>0</v>
      </c>
      <c r="Q5" s="144">
        <v>0</v>
      </c>
      <c r="R5" s="144">
        <v>0</v>
      </c>
      <c r="S5" s="144">
        <v>0</v>
      </c>
      <c r="T5" s="144">
        <v>0</v>
      </c>
      <c r="U5" s="144">
        <v>0</v>
      </c>
      <c r="V5" s="144">
        <v>0</v>
      </c>
      <c r="W5" s="144">
        <v>0</v>
      </c>
      <c r="X5" s="144">
        <v>0</v>
      </c>
      <c r="Y5" s="144">
        <v>0</v>
      </c>
      <c r="Z5" s="144">
        <v>0</v>
      </c>
      <c r="AA5" s="144">
        <v>0</v>
      </c>
      <c r="AB5" s="144">
        <v>0</v>
      </c>
      <c r="AC5" s="144">
        <v>0</v>
      </c>
      <c r="AD5" s="144">
        <v>0</v>
      </c>
      <c r="AE5" s="144">
        <v>0</v>
      </c>
      <c r="AF5" s="144">
        <v>0</v>
      </c>
      <c r="AG5" s="144">
        <v>0</v>
      </c>
      <c r="AH5" s="144">
        <v>0</v>
      </c>
      <c r="AI5" s="144">
        <v>0</v>
      </c>
      <c r="AJ5" s="144">
        <v>0</v>
      </c>
      <c r="AK5" s="144">
        <v>0</v>
      </c>
      <c r="AL5" s="144">
        <v>0</v>
      </c>
      <c r="AM5" s="144">
        <v>0</v>
      </c>
      <c r="AN5" s="144">
        <v>0</v>
      </c>
      <c r="AO5" s="144">
        <v>0</v>
      </c>
      <c r="AP5" s="144">
        <v>0</v>
      </c>
      <c r="AQ5" s="145">
        <v>0</v>
      </c>
    </row>
    <row r="6" spans="2:43" ht="12" customHeight="1" x14ac:dyDescent="0.3">
      <c r="B6" s="143" t="s">
        <v>36</v>
      </c>
      <c r="C6" s="144" t="s">
        <v>70</v>
      </c>
      <c r="D6" s="144" t="s">
        <v>25</v>
      </c>
      <c r="E6" s="144" t="s">
        <v>25</v>
      </c>
      <c r="F6" s="144" t="s">
        <v>75</v>
      </c>
      <c r="G6" s="144" t="s">
        <v>39</v>
      </c>
      <c r="H6" s="144" t="s">
        <v>67</v>
      </c>
      <c r="I6" s="144" t="s">
        <v>25</v>
      </c>
      <c r="J6" s="144">
        <v>0</v>
      </c>
      <c r="K6" s="144">
        <v>0</v>
      </c>
      <c r="L6" s="144">
        <v>0</v>
      </c>
      <c r="M6" s="144">
        <v>0</v>
      </c>
      <c r="N6" s="144">
        <v>0</v>
      </c>
      <c r="O6" s="144">
        <v>0</v>
      </c>
      <c r="P6" s="144">
        <v>0</v>
      </c>
      <c r="Q6" s="144">
        <v>0</v>
      </c>
      <c r="R6" s="144">
        <v>0</v>
      </c>
      <c r="S6" s="144">
        <v>0</v>
      </c>
      <c r="T6" s="144">
        <v>0</v>
      </c>
      <c r="U6" s="144">
        <v>0</v>
      </c>
      <c r="V6" s="144">
        <v>0</v>
      </c>
      <c r="W6" s="144">
        <v>0</v>
      </c>
      <c r="X6" s="144">
        <v>0</v>
      </c>
      <c r="Y6" s="144">
        <v>0</v>
      </c>
      <c r="Z6" s="144">
        <v>0</v>
      </c>
      <c r="AA6" s="144">
        <v>0</v>
      </c>
      <c r="AB6" s="144">
        <v>0</v>
      </c>
      <c r="AC6" s="144">
        <v>0</v>
      </c>
      <c r="AD6" s="144">
        <v>0</v>
      </c>
      <c r="AE6" s="144">
        <v>0</v>
      </c>
      <c r="AF6" s="144">
        <v>0</v>
      </c>
      <c r="AG6" s="144">
        <v>0</v>
      </c>
      <c r="AH6" s="144">
        <v>0</v>
      </c>
      <c r="AI6" s="144">
        <v>0</v>
      </c>
      <c r="AJ6" s="144">
        <v>0</v>
      </c>
      <c r="AK6" s="144">
        <v>0</v>
      </c>
      <c r="AL6" s="144">
        <v>0</v>
      </c>
      <c r="AM6" s="144">
        <v>0</v>
      </c>
      <c r="AN6" s="144">
        <v>0</v>
      </c>
      <c r="AO6" s="144">
        <v>0</v>
      </c>
      <c r="AP6" s="144">
        <v>0</v>
      </c>
      <c r="AQ6" s="145">
        <v>0</v>
      </c>
    </row>
    <row r="7" spans="2:43" ht="12" customHeight="1" x14ac:dyDescent="0.3">
      <c r="B7" s="143" t="s">
        <v>36</v>
      </c>
      <c r="C7" s="144" t="s">
        <v>70</v>
      </c>
      <c r="D7" s="144" t="s">
        <v>25</v>
      </c>
      <c r="E7" s="144" t="s">
        <v>25</v>
      </c>
      <c r="F7" s="144" t="s">
        <v>75</v>
      </c>
      <c r="G7" s="144" t="s">
        <v>39</v>
      </c>
      <c r="H7" s="144" t="s">
        <v>71</v>
      </c>
      <c r="I7" s="144" t="s">
        <v>25</v>
      </c>
      <c r="J7" s="144">
        <v>0</v>
      </c>
      <c r="K7" s="144">
        <v>0</v>
      </c>
      <c r="L7" s="144">
        <v>0</v>
      </c>
      <c r="M7" s="144">
        <v>0</v>
      </c>
      <c r="N7" s="144">
        <v>0</v>
      </c>
      <c r="O7" s="144">
        <v>0</v>
      </c>
      <c r="P7" s="144">
        <v>0</v>
      </c>
      <c r="Q7" s="144">
        <v>0</v>
      </c>
      <c r="R7" s="144">
        <v>0</v>
      </c>
      <c r="S7" s="144">
        <v>0</v>
      </c>
      <c r="T7" s="144">
        <v>0</v>
      </c>
      <c r="U7" s="144">
        <v>0</v>
      </c>
      <c r="V7" s="144">
        <v>0</v>
      </c>
      <c r="W7" s="144">
        <v>0</v>
      </c>
      <c r="X7" s="144">
        <v>0</v>
      </c>
      <c r="Y7" s="144">
        <v>0</v>
      </c>
      <c r="Z7" s="144">
        <v>0</v>
      </c>
      <c r="AA7" s="144">
        <v>0</v>
      </c>
      <c r="AB7" s="144">
        <v>0</v>
      </c>
      <c r="AC7" s="144">
        <v>0</v>
      </c>
      <c r="AD7" s="144">
        <v>0</v>
      </c>
      <c r="AE7" s="144">
        <v>0</v>
      </c>
      <c r="AF7" s="144">
        <v>0</v>
      </c>
      <c r="AG7" s="144">
        <v>0</v>
      </c>
      <c r="AH7" s="144">
        <v>0</v>
      </c>
      <c r="AI7" s="144">
        <v>0</v>
      </c>
      <c r="AJ7" s="144">
        <v>0</v>
      </c>
      <c r="AK7" s="144">
        <v>0</v>
      </c>
      <c r="AL7" s="144">
        <v>0</v>
      </c>
      <c r="AM7" s="144">
        <v>0</v>
      </c>
      <c r="AN7" s="144">
        <v>0</v>
      </c>
      <c r="AO7" s="144">
        <v>0</v>
      </c>
      <c r="AP7" s="144">
        <v>0</v>
      </c>
      <c r="AQ7" s="145">
        <v>0</v>
      </c>
    </row>
    <row r="8" spans="2:43" ht="12" customHeight="1" x14ac:dyDescent="0.3">
      <c r="B8" s="143" t="s">
        <v>36</v>
      </c>
      <c r="C8" s="144" t="s">
        <v>70</v>
      </c>
      <c r="D8" s="144" t="s">
        <v>25</v>
      </c>
      <c r="E8" s="144" t="s">
        <v>25</v>
      </c>
      <c r="F8" s="144" t="s">
        <v>25</v>
      </c>
      <c r="G8" s="144" t="s">
        <v>38</v>
      </c>
      <c r="H8" s="144" t="s">
        <v>67</v>
      </c>
      <c r="I8" s="144" t="s">
        <v>25</v>
      </c>
      <c r="J8" s="144">
        <v>0</v>
      </c>
      <c r="K8" s="144">
        <v>0</v>
      </c>
      <c r="L8" s="144">
        <v>0</v>
      </c>
      <c r="M8" s="144">
        <v>0</v>
      </c>
      <c r="N8" s="144">
        <v>0</v>
      </c>
      <c r="O8" s="144">
        <v>0</v>
      </c>
      <c r="P8" s="144">
        <v>0</v>
      </c>
      <c r="Q8" s="144">
        <v>0</v>
      </c>
      <c r="R8" s="144">
        <v>0</v>
      </c>
      <c r="S8" s="144">
        <v>0</v>
      </c>
      <c r="T8" s="144">
        <v>0</v>
      </c>
      <c r="U8" s="144">
        <v>0</v>
      </c>
      <c r="V8" s="144">
        <v>0</v>
      </c>
      <c r="W8" s="144">
        <v>0</v>
      </c>
      <c r="X8" s="144">
        <v>0</v>
      </c>
      <c r="Y8" s="144">
        <v>0</v>
      </c>
      <c r="Z8" s="144">
        <v>0</v>
      </c>
      <c r="AA8" s="144">
        <v>0</v>
      </c>
      <c r="AB8" s="144">
        <v>0</v>
      </c>
      <c r="AC8" s="144">
        <v>0</v>
      </c>
      <c r="AD8" s="144">
        <v>0</v>
      </c>
      <c r="AE8" s="144">
        <v>0</v>
      </c>
      <c r="AF8" s="144">
        <v>0</v>
      </c>
      <c r="AG8" s="144">
        <v>0</v>
      </c>
      <c r="AH8" s="144">
        <v>0</v>
      </c>
      <c r="AI8" s="144">
        <v>0</v>
      </c>
      <c r="AJ8" s="144">
        <v>0</v>
      </c>
      <c r="AK8" s="144">
        <v>0</v>
      </c>
      <c r="AL8" s="144">
        <v>0</v>
      </c>
      <c r="AM8" s="144">
        <v>0</v>
      </c>
      <c r="AN8" s="144">
        <v>0</v>
      </c>
      <c r="AO8" s="144">
        <v>0</v>
      </c>
      <c r="AP8" s="144">
        <v>0</v>
      </c>
      <c r="AQ8" s="145">
        <v>0</v>
      </c>
    </row>
    <row r="9" spans="2:43" ht="12" customHeight="1" x14ac:dyDescent="0.3">
      <c r="B9" s="143" t="s">
        <v>36</v>
      </c>
      <c r="C9" s="144" t="s">
        <v>70</v>
      </c>
      <c r="D9" s="144" t="s">
        <v>25</v>
      </c>
      <c r="E9" s="144" t="s">
        <v>25</v>
      </c>
      <c r="F9" s="144" t="s">
        <v>25</v>
      </c>
      <c r="G9" s="144" t="s">
        <v>38</v>
      </c>
      <c r="H9" s="144" t="s">
        <v>71</v>
      </c>
      <c r="I9" s="144" t="s">
        <v>25</v>
      </c>
      <c r="J9" s="144">
        <v>0</v>
      </c>
      <c r="K9" s="144">
        <v>0</v>
      </c>
      <c r="L9" s="144">
        <v>0</v>
      </c>
      <c r="M9" s="144">
        <v>0</v>
      </c>
      <c r="N9" s="144">
        <v>0</v>
      </c>
      <c r="O9" s="144">
        <v>0</v>
      </c>
      <c r="P9" s="144">
        <v>0</v>
      </c>
      <c r="Q9" s="144">
        <v>0</v>
      </c>
      <c r="R9" s="144">
        <v>0</v>
      </c>
      <c r="S9" s="144">
        <v>0</v>
      </c>
      <c r="T9" s="144">
        <v>0</v>
      </c>
      <c r="U9" s="144">
        <v>0</v>
      </c>
      <c r="V9" s="144">
        <v>0</v>
      </c>
      <c r="W9" s="144">
        <v>0</v>
      </c>
      <c r="X9" s="144">
        <v>0</v>
      </c>
      <c r="Y9" s="144">
        <v>0</v>
      </c>
      <c r="Z9" s="144">
        <v>0</v>
      </c>
      <c r="AA9" s="144">
        <v>0</v>
      </c>
      <c r="AB9" s="144">
        <v>0</v>
      </c>
      <c r="AC9" s="144">
        <v>0</v>
      </c>
      <c r="AD9" s="144">
        <v>0</v>
      </c>
      <c r="AE9" s="144">
        <v>0</v>
      </c>
      <c r="AF9" s="144">
        <v>0</v>
      </c>
      <c r="AG9" s="144">
        <v>0</v>
      </c>
      <c r="AH9" s="144">
        <v>0</v>
      </c>
      <c r="AI9" s="144">
        <v>0</v>
      </c>
      <c r="AJ9" s="144">
        <v>0</v>
      </c>
      <c r="AK9" s="144">
        <v>0</v>
      </c>
      <c r="AL9" s="144">
        <v>0</v>
      </c>
      <c r="AM9" s="144">
        <v>0</v>
      </c>
      <c r="AN9" s="144">
        <v>0</v>
      </c>
      <c r="AO9" s="144">
        <v>0</v>
      </c>
      <c r="AP9" s="144">
        <v>0</v>
      </c>
      <c r="AQ9" s="145">
        <v>0</v>
      </c>
    </row>
    <row r="10" spans="2:43" ht="12" customHeight="1" x14ac:dyDescent="0.3">
      <c r="B10" s="143" t="s">
        <v>36</v>
      </c>
      <c r="C10" s="144" t="s">
        <v>70</v>
      </c>
      <c r="D10" s="144" t="s">
        <v>25</v>
      </c>
      <c r="E10" s="144" t="s">
        <v>25</v>
      </c>
      <c r="F10" s="144" t="s">
        <v>25</v>
      </c>
      <c r="G10" s="144" t="s">
        <v>39</v>
      </c>
      <c r="H10" s="144" t="s">
        <v>67</v>
      </c>
      <c r="I10" s="144" t="s">
        <v>25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  <c r="AB10" s="144">
        <v>0</v>
      </c>
      <c r="AC10" s="144">
        <v>0</v>
      </c>
      <c r="AD10" s="144">
        <v>0</v>
      </c>
      <c r="AE10" s="144">
        <v>0</v>
      </c>
      <c r="AF10" s="144">
        <v>0</v>
      </c>
      <c r="AG10" s="144">
        <v>0</v>
      </c>
      <c r="AH10" s="144">
        <v>0</v>
      </c>
      <c r="AI10" s="144">
        <v>0</v>
      </c>
      <c r="AJ10" s="144">
        <v>0</v>
      </c>
      <c r="AK10" s="144">
        <v>0</v>
      </c>
      <c r="AL10" s="144">
        <v>0</v>
      </c>
      <c r="AM10" s="144">
        <v>0</v>
      </c>
      <c r="AN10" s="144">
        <v>0</v>
      </c>
      <c r="AO10" s="144">
        <v>0</v>
      </c>
      <c r="AP10" s="144">
        <v>0</v>
      </c>
      <c r="AQ10" s="145">
        <v>0</v>
      </c>
    </row>
    <row r="11" spans="2:43" ht="12" customHeight="1" x14ac:dyDescent="0.3">
      <c r="B11" s="143" t="s">
        <v>36</v>
      </c>
      <c r="C11" s="144" t="s">
        <v>70</v>
      </c>
      <c r="D11" s="144" t="s">
        <v>25</v>
      </c>
      <c r="E11" s="144" t="s">
        <v>25</v>
      </c>
      <c r="F11" s="144" t="s">
        <v>25</v>
      </c>
      <c r="G11" s="144" t="s">
        <v>39</v>
      </c>
      <c r="H11" s="144" t="s">
        <v>71</v>
      </c>
      <c r="I11" s="144" t="s">
        <v>25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  <c r="AB11" s="144">
        <v>0</v>
      </c>
      <c r="AC11" s="144">
        <v>0</v>
      </c>
      <c r="AD11" s="144">
        <v>0</v>
      </c>
      <c r="AE11" s="144">
        <v>0</v>
      </c>
      <c r="AF11" s="144">
        <v>0</v>
      </c>
      <c r="AG11" s="144">
        <v>0</v>
      </c>
      <c r="AH11" s="144">
        <v>0</v>
      </c>
      <c r="AI11" s="144">
        <v>0</v>
      </c>
      <c r="AJ11" s="144">
        <v>0</v>
      </c>
      <c r="AK11" s="144">
        <v>0</v>
      </c>
      <c r="AL11" s="144">
        <v>0</v>
      </c>
      <c r="AM11" s="144">
        <v>0</v>
      </c>
      <c r="AN11" s="144">
        <v>0</v>
      </c>
      <c r="AO11" s="144">
        <v>0</v>
      </c>
      <c r="AP11" s="144">
        <v>0</v>
      </c>
      <c r="AQ11" s="145">
        <v>0</v>
      </c>
    </row>
    <row r="12" spans="2:43" ht="12" customHeight="1" x14ac:dyDescent="0.3">
      <c r="B12" s="143" t="s">
        <v>36</v>
      </c>
      <c r="C12" s="144" t="s">
        <v>76</v>
      </c>
      <c r="D12" s="144" t="s">
        <v>25</v>
      </c>
      <c r="E12" s="144" t="s">
        <v>25</v>
      </c>
      <c r="F12" s="144" t="s">
        <v>25</v>
      </c>
      <c r="G12" s="144" t="s">
        <v>25</v>
      </c>
      <c r="H12" s="144" t="s">
        <v>71</v>
      </c>
      <c r="I12" s="144" t="s">
        <v>25</v>
      </c>
      <c r="J12" s="144">
        <v>0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0</v>
      </c>
      <c r="AB12" s="144">
        <v>0</v>
      </c>
      <c r="AC12" s="144">
        <v>0</v>
      </c>
      <c r="AD12" s="144">
        <v>0</v>
      </c>
      <c r="AE12" s="144">
        <v>0</v>
      </c>
      <c r="AF12" s="144">
        <v>0</v>
      </c>
      <c r="AG12" s="144">
        <v>0</v>
      </c>
      <c r="AH12" s="144">
        <v>0</v>
      </c>
      <c r="AI12" s="144">
        <v>0</v>
      </c>
      <c r="AJ12" s="144">
        <v>0</v>
      </c>
      <c r="AK12" s="144">
        <v>0</v>
      </c>
      <c r="AL12" s="144">
        <v>0</v>
      </c>
      <c r="AM12" s="144">
        <v>0</v>
      </c>
      <c r="AN12" s="144">
        <v>0</v>
      </c>
      <c r="AO12" s="144">
        <v>0</v>
      </c>
      <c r="AP12" s="144">
        <v>0</v>
      </c>
      <c r="AQ12" s="145">
        <v>0</v>
      </c>
    </row>
    <row r="13" spans="2:43" ht="12" customHeight="1" x14ac:dyDescent="0.3">
      <c r="B13" s="143" t="s">
        <v>36</v>
      </c>
      <c r="C13" s="144" t="s">
        <v>37</v>
      </c>
      <c r="D13" s="144" t="s">
        <v>25</v>
      </c>
      <c r="E13" s="144" t="s">
        <v>25</v>
      </c>
      <c r="F13" s="144" t="s">
        <v>75</v>
      </c>
      <c r="G13" s="144" t="s">
        <v>38</v>
      </c>
      <c r="H13" s="144" t="s">
        <v>67</v>
      </c>
      <c r="I13" s="144" t="s">
        <v>25</v>
      </c>
      <c r="J13" s="144">
        <v>0</v>
      </c>
      <c r="K13" s="144">
        <v>0</v>
      </c>
      <c r="L13" s="144">
        <v>0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0</v>
      </c>
      <c r="U13" s="144">
        <v>0</v>
      </c>
      <c r="V13" s="144">
        <v>0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0</v>
      </c>
      <c r="AC13" s="144">
        <v>0</v>
      </c>
      <c r="AD13" s="144">
        <v>0</v>
      </c>
      <c r="AE13" s="144">
        <v>0</v>
      </c>
      <c r="AF13" s="144">
        <v>0</v>
      </c>
      <c r="AG13" s="144">
        <v>0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5">
        <v>0</v>
      </c>
    </row>
    <row r="14" spans="2:43" ht="12" customHeight="1" x14ac:dyDescent="0.3">
      <c r="B14" s="143" t="s">
        <v>36</v>
      </c>
      <c r="C14" s="144" t="s">
        <v>37</v>
      </c>
      <c r="D14" s="144" t="s">
        <v>25</v>
      </c>
      <c r="E14" s="144" t="s">
        <v>25</v>
      </c>
      <c r="F14" s="144" t="s">
        <v>75</v>
      </c>
      <c r="G14" s="144" t="s">
        <v>25</v>
      </c>
      <c r="H14" s="144" t="s">
        <v>71</v>
      </c>
      <c r="I14" s="144" t="s">
        <v>25</v>
      </c>
      <c r="J14" s="144">
        <v>0</v>
      </c>
      <c r="K14" s="144">
        <v>0</v>
      </c>
      <c r="L14" s="144">
        <v>0</v>
      </c>
      <c r="M14" s="144">
        <v>0</v>
      </c>
      <c r="N14" s="144">
        <v>0</v>
      </c>
      <c r="O14" s="144">
        <v>0</v>
      </c>
      <c r="P14" s="144">
        <v>0</v>
      </c>
      <c r="Q14" s="144">
        <v>0</v>
      </c>
      <c r="R14" s="144">
        <v>0</v>
      </c>
      <c r="S14" s="144">
        <v>0</v>
      </c>
      <c r="T14" s="144">
        <v>0</v>
      </c>
      <c r="U14" s="144">
        <v>0</v>
      </c>
      <c r="V14" s="144">
        <v>0</v>
      </c>
      <c r="W14" s="144">
        <v>0</v>
      </c>
      <c r="X14" s="144">
        <v>0</v>
      </c>
      <c r="Y14" s="144">
        <v>0</v>
      </c>
      <c r="Z14" s="144">
        <v>0</v>
      </c>
      <c r="AA14" s="144">
        <v>0</v>
      </c>
      <c r="AB14" s="144">
        <v>0</v>
      </c>
      <c r="AC14" s="144">
        <v>0</v>
      </c>
      <c r="AD14" s="144">
        <v>0</v>
      </c>
      <c r="AE14" s="144">
        <v>0</v>
      </c>
      <c r="AF14" s="144">
        <v>0</v>
      </c>
      <c r="AG14" s="144">
        <v>0</v>
      </c>
      <c r="AH14" s="144">
        <v>0</v>
      </c>
      <c r="AI14" s="144">
        <v>0</v>
      </c>
      <c r="AJ14" s="144">
        <v>0</v>
      </c>
      <c r="AK14" s="144">
        <v>0</v>
      </c>
      <c r="AL14" s="144">
        <v>0</v>
      </c>
      <c r="AM14" s="144">
        <v>0</v>
      </c>
      <c r="AN14" s="144">
        <v>0</v>
      </c>
      <c r="AO14" s="144">
        <v>0</v>
      </c>
      <c r="AP14" s="144">
        <v>0</v>
      </c>
      <c r="AQ14" s="145">
        <v>0</v>
      </c>
    </row>
    <row r="15" spans="2:43" ht="12" customHeight="1" x14ac:dyDescent="0.3">
      <c r="B15" s="143" t="s">
        <v>36</v>
      </c>
      <c r="C15" s="144" t="s">
        <v>37</v>
      </c>
      <c r="D15" s="144" t="s">
        <v>25</v>
      </c>
      <c r="E15" s="144" t="s">
        <v>25</v>
      </c>
      <c r="F15" s="144" t="s">
        <v>75</v>
      </c>
      <c r="G15" s="144" t="s">
        <v>39</v>
      </c>
      <c r="H15" s="144" t="s">
        <v>67</v>
      </c>
      <c r="I15" s="144" t="s">
        <v>25</v>
      </c>
      <c r="J15" s="144">
        <v>0</v>
      </c>
      <c r="K15" s="144">
        <v>0</v>
      </c>
      <c r="L15" s="144">
        <v>0</v>
      </c>
      <c r="M15" s="144">
        <v>0</v>
      </c>
      <c r="N15" s="144">
        <v>0</v>
      </c>
      <c r="O15" s="144">
        <v>0</v>
      </c>
      <c r="P15" s="144">
        <v>0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4">
        <v>0</v>
      </c>
      <c r="W15" s="144">
        <v>0</v>
      </c>
      <c r="X15" s="144">
        <v>0</v>
      </c>
      <c r="Y15" s="144">
        <v>0</v>
      </c>
      <c r="Z15" s="144">
        <v>0</v>
      </c>
      <c r="AA15" s="144">
        <v>0</v>
      </c>
      <c r="AB15" s="144">
        <v>0</v>
      </c>
      <c r="AC15" s="144">
        <v>0</v>
      </c>
      <c r="AD15" s="144">
        <v>0</v>
      </c>
      <c r="AE15" s="144">
        <v>0</v>
      </c>
      <c r="AF15" s="144">
        <v>0</v>
      </c>
      <c r="AG15" s="144">
        <v>0</v>
      </c>
      <c r="AH15" s="144">
        <v>0</v>
      </c>
      <c r="AI15" s="144">
        <v>0</v>
      </c>
      <c r="AJ15" s="144">
        <v>0</v>
      </c>
      <c r="AK15" s="144">
        <v>0</v>
      </c>
      <c r="AL15" s="144">
        <v>0</v>
      </c>
      <c r="AM15" s="144">
        <v>0</v>
      </c>
      <c r="AN15" s="144">
        <v>0</v>
      </c>
      <c r="AO15" s="144">
        <v>0</v>
      </c>
      <c r="AP15" s="144">
        <v>0</v>
      </c>
      <c r="AQ15" s="145">
        <v>0</v>
      </c>
    </row>
    <row r="16" spans="2:43" ht="12" customHeight="1" x14ac:dyDescent="0.3">
      <c r="B16" s="143" t="s">
        <v>36</v>
      </c>
      <c r="C16" s="144" t="s">
        <v>37</v>
      </c>
      <c r="D16" s="144" t="s">
        <v>25</v>
      </c>
      <c r="E16" s="144" t="s">
        <v>25</v>
      </c>
      <c r="F16" s="144" t="s">
        <v>25</v>
      </c>
      <c r="G16" s="144" t="s">
        <v>38</v>
      </c>
      <c r="H16" s="144" t="s">
        <v>67</v>
      </c>
      <c r="I16" s="144" t="s">
        <v>25</v>
      </c>
      <c r="J16" s="144">
        <v>0</v>
      </c>
      <c r="K16" s="144">
        <v>0</v>
      </c>
      <c r="L16" s="144">
        <v>0</v>
      </c>
      <c r="M16" s="144">
        <v>0</v>
      </c>
      <c r="N16" s="144">
        <v>0</v>
      </c>
      <c r="O16" s="144">
        <v>0</v>
      </c>
      <c r="P16" s="144">
        <v>0</v>
      </c>
      <c r="Q16" s="144">
        <v>0</v>
      </c>
      <c r="R16" s="144">
        <v>0</v>
      </c>
      <c r="S16" s="144">
        <v>0</v>
      </c>
      <c r="T16" s="144">
        <v>0</v>
      </c>
      <c r="U16" s="144">
        <v>0</v>
      </c>
      <c r="V16" s="144">
        <v>0</v>
      </c>
      <c r="W16" s="144">
        <v>0</v>
      </c>
      <c r="X16" s="144">
        <v>0</v>
      </c>
      <c r="Y16" s="144">
        <v>0</v>
      </c>
      <c r="Z16" s="144">
        <v>0</v>
      </c>
      <c r="AA16" s="144">
        <v>0</v>
      </c>
      <c r="AB16" s="144">
        <v>0</v>
      </c>
      <c r="AC16" s="144">
        <v>0</v>
      </c>
      <c r="AD16" s="144">
        <v>0</v>
      </c>
      <c r="AE16" s="144">
        <v>0</v>
      </c>
      <c r="AF16" s="144">
        <v>0</v>
      </c>
      <c r="AG16" s="144">
        <v>0</v>
      </c>
      <c r="AH16" s="144">
        <v>0</v>
      </c>
      <c r="AI16" s="144">
        <v>0</v>
      </c>
      <c r="AJ16" s="144">
        <v>0</v>
      </c>
      <c r="AK16" s="144">
        <v>0</v>
      </c>
      <c r="AL16" s="144">
        <v>0</v>
      </c>
      <c r="AM16" s="144">
        <v>0</v>
      </c>
      <c r="AN16" s="144">
        <v>0</v>
      </c>
      <c r="AO16" s="144">
        <v>0</v>
      </c>
      <c r="AP16" s="144">
        <v>0</v>
      </c>
      <c r="AQ16" s="145">
        <v>0</v>
      </c>
    </row>
    <row r="17" spans="2:43" ht="12" customHeight="1" x14ac:dyDescent="0.3">
      <c r="B17" s="143" t="s">
        <v>36</v>
      </c>
      <c r="C17" s="144" t="s">
        <v>37</v>
      </c>
      <c r="D17" s="144" t="s">
        <v>25</v>
      </c>
      <c r="E17" s="144" t="s">
        <v>25</v>
      </c>
      <c r="F17" s="144" t="s">
        <v>25</v>
      </c>
      <c r="G17" s="144" t="s">
        <v>25</v>
      </c>
      <c r="H17" s="144" t="s">
        <v>71</v>
      </c>
      <c r="I17" s="144" t="s">
        <v>25</v>
      </c>
      <c r="J17" s="144">
        <v>0</v>
      </c>
      <c r="K17" s="144">
        <v>0</v>
      </c>
      <c r="L17" s="144">
        <v>0</v>
      </c>
      <c r="M17" s="144">
        <v>0</v>
      </c>
      <c r="N17" s="144">
        <v>0</v>
      </c>
      <c r="O17" s="144">
        <v>0</v>
      </c>
      <c r="P17" s="144">
        <v>0</v>
      </c>
      <c r="Q17" s="144">
        <v>0</v>
      </c>
      <c r="R17" s="144">
        <v>0</v>
      </c>
      <c r="S17" s="144">
        <v>0</v>
      </c>
      <c r="T17" s="144">
        <v>0</v>
      </c>
      <c r="U17" s="144">
        <v>0</v>
      </c>
      <c r="V17" s="144">
        <v>0</v>
      </c>
      <c r="W17" s="144">
        <v>0</v>
      </c>
      <c r="X17" s="144">
        <v>0</v>
      </c>
      <c r="Y17" s="144">
        <v>0</v>
      </c>
      <c r="Z17" s="144">
        <v>0</v>
      </c>
      <c r="AA17" s="144">
        <v>0</v>
      </c>
      <c r="AB17" s="144">
        <v>0</v>
      </c>
      <c r="AC17" s="144">
        <v>0</v>
      </c>
      <c r="AD17" s="144">
        <v>0</v>
      </c>
      <c r="AE17" s="144">
        <v>0</v>
      </c>
      <c r="AF17" s="144">
        <v>0</v>
      </c>
      <c r="AG17" s="144">
        <v>0</v>
      </c>
      <c r="AH17" s="144">
        <v>0</v>
      </c>
      <c r="AI17" s="144">
        <v>0</v>
      </c>
      <c r="AJ17" s="144">
        <v>0</v>
      </c>
      <c r="AK17" s="144">
        <v>0</v>
      </c>
      <c r="AL17" s="144">
        <v>0</v>
      </c>
      <c r="AM17" s="144">
        <v>0</v>
      </c>
      <c r="AN17" s="144">
        <v>0</v>
      </c>
      <c r="AO17" s="144">
        <v>0</v>
      </c>
      <c r="AP17" s="144">
        <v>0</v>
      </c>
      <c r="AQ17" s="145">
        <v>0</v>
      </c>
    </row>
    <row r="18" spans="2:43" ht="12" customHeight="1" x14ac:dyDescent="0.3">
      <c r="B18" s="143" t="s">
        <v>36</v>
      </c>
      <c r="C18" s="144" t="s">
        <v>37</v>
      </c>
      <c r="D18" s="144" t="s">
        <v>25</v>
      </c>
      <c r="E18" s="144" t="s">
        <v>25</v>
      </c>
      <c r="F18" s="144" t="s">
        <v>25</v>
      </c>
      <c r="G18" s="144" t="s">
        <v>39</v>
      </c>
      <c r="H18" s="144" t="s">
        <v>67</v>
      </c>
      <c r="I18" s="144" t="s">
        <v>25</v>
      </c>
      <c r="J18" s="144">
        <v>0</v>
      </c>
      <c r="K18" s="144">
        <v>0</v>
      </c>
      <c r="L18" s="144">
        <v>0</v>
      </c>
      <c r="M18" s="144">
        <v>0</v>
      </c>
      <c r="N18" s="144">
        <v>0</v>
      </c>
      <c r="O18" s="144">
        <v>0</v>
      </c>
      <c r="P18" s="144">
        <v>0</v>
      </c>
      <c r="Q18" s="144">
        <v>0</v>
      </c>
      <c r="R18" s="144">
        <v>0</v>
      </c>
      <c r="S18" s="144">
        <v>0</v>
      </c>
      <c r="T18" s="144">
        <v>0</v>
      </c>
      <c r="U18" s="144">
        <v>0</v>
      </c>
      <c r="V18" s="144">
        <v>0</v>
      </c>
      <c r="W18" s="144">
        <v>0</v>
      </c>
      <c r="X18" s="144">
        <v>0</v>
      </c>
      <c r="Y18" s="144">
        <v>0</v>
      </c>
      <c r="Z18" s="144">
        <v>0</v>
      </c>
      <c r="AA18" s="144">
        <v>0</v>
      </c>
      <c r="AB18" s="144">
        <v>0</v>
      </c>
      <c r="AC18" s="144">
        <v>0</v>
      </c>
      <c r="AD18" s="144">
        <v>0</v>
      </c>
      <c r="AE18" s="144">
        <v>0</v>
      </c>
      <c r="AF18" s="144">
        <v>0</v>
      </c>
      <c r="AG18" s="144">
        <v>0</v>
      </c>
      <c r="AH18" s="144">
        <v>0</v>
      </c>
      <c r="AI18" s="144">
        <v>0</v>
      </c>
      <c r="AJ18" s="144">
        <v>0</v>
      </c>
      <c r="AK18" s="144">
        <v>0</v>
      </c>
      <c r="AL18" s="144">
        <v>0</v>
      </c>
      <c r="AM18" s="144">
        <v>0</v>
      </c>
      <c r="AN18" s="144">
        <v>0</v>
      </c>
      <c r="AO18" s="144">
        <v>0</v>
      </c>
      <c r="AP18" s="144">
        <v>0</v>
      </c>
      <c r="AQ18" s="145">
        <v>0</v>
      </c>
    </row>
    <row r="19" spans="2:43" ht="12" customHeight="1" x14ac:dyDescent="0.3">
      <c r="B19" s="143" t="s">
        <v>77</v>
      </c>
      <c r="C19" s="144" t="s">
        <v>76</v>
      </c>
      <c r="D19" s="144" t="s">
        <v>25</v>
      </c>
      <c r="E19" s="144" t="s">
        <v>25</v>
      </c>
      <c r="F19" s="144" t="s">
        <v>78</v>
      </c>
      <c r="G19" s="144" t="s">
        <v>25</v>
      </c>
      <c r="H19" s="144" t="s">
        <v>71</v>
      </c>
      <c r="I19" s="144" t="s">
        <v>25</v>
      </c>
      <c r="J19" s="144">
        <v>0</v>
      </c>
      <c r="K19" s="144">
        <v>0</v>
      </c>
      <c r="L19" s="144">
        <v>0</v>
      </c>
      <c r="M19" s="144">
        <v>0</v>
      </c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0</v>
      </c>
      <c r="T19" s="144">
        <v>0</v>
      </c>
      <c r="U19" s="144">
        <v>0</v>
      </c>
      <c r="V19" s="144">
        <v>0</v>
      </c>
      <c r="W19" s="144">
        <v>0</v>
      </c>
      <c r="X19" s="144">
        <v>0</v>
      </c>
      <c r="Y19" s="144">
        <v>0</v>
      </c>
      <c r="Z19" s="144">
        <v>0</v>
      </c>
      <c r="AA19" s="144">
        <v>0</v>
      </c>
      <c r="AB19" s="144">
        <v>0</v>
      </c>
      <c r="AC19" s="144">
        <v>0</v>
      </c>
      <c r="AD19" s="144">
        <v>0</v>
      </c>
      <c r="AE19" s="144">
        <v>0</v>
      </c>
      <c r="AF19" s="144">
        <v>0</v>
      </c>
      <c r="AG19" s="144">
        <v>0</v>
      </c>
      <c r="AH19" s="144">
        <v>0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5">
        <v>0</v>
      </c>
    </row>
    <row r="20" spans="2:43" ht="12" customHeight="1" x14ac:dyDescent="0.3">
      <c r="B20" s="143" t="s">
        <v>77</v>
      </c>
      <c r="C20" s="144" t="s">
        <v>76</v>
      </c>
      <c r="D20" s="144" t="s">
        <v>25</v>
      </c>
      <c r="E20" s="144" t="s">
        <v>25</v>
      </c>
      <c r="F20" s="144" t="s">
        <v>79</v>
      </c>
      <c r="G20" s="144" t="s">
        <v>25</v>
      </c>
      <c r="H20" s="144" t="s">
        <v>71</v>
      </c>
      <c r="I20" s="144" t="s">
        <v>25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  <c r="AB20" s="144">
        <v>0</v>
      </c>
      <c r="AC20" s="144">
        <v>0</v>
      </c>
      <c r="AD20" s="144">
        <v>0</v>
      </c>
      <c r="AE20" s="144">
        <v>0</v>
      </c>
      <c r="AF20" s="144">
        <v>0</v>
      </c>
      <c r="AG20" s="144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4">
        <v>0</v>
      </c>
      <c r="AO20" s="144">
        <v>0</v>
      </c>
      <c r="AP20" s="144">
        <v>0</v>
      </c>
      <c r="AQ20" s="145">
        <v>0</v>
      </c>
    </row>
    <row r="21" spans="2:43" ht="12" customHeight="1" x14ac:dyDescent="0.3">
      <c r="B21" s="143" t="s">
        <v>22</v>
      </c>
      <c r="C21" s="144" t="s">
        <v>82</v>
      </c>
      <c r="D21" s="144" t="s">
        <v>24</v>
      </c>
      <c r="E21" s="144" t="s">
        <v>24</v>
      </c>
      <c r="F21" s="144" t="s">
        <v>25</v>
      </c>
      <c r="G21" s="144" t="s">
        <v>38</v>
      </c>
      <c r="H21" s="144" t="s">
        <v>67</v>
      </c>
      <c r="I21" s="144" t="s">
        <v>25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E21" s="144">
        <v>0</v>
      </c>
      <c r="AF21" s="144">
        <v>0</v>
      </c>
      <c r="AG21" s="144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0</v>
      </c>
      <c r="AM21" s="144">
        <v>0</v>
      </c>
      <c r="AN21" s="144">
        <v>0</v>
      </c>
      <c r="AO21" s="144">
        <v>0</v>
      </c>
      <c r="AP21" s="144">
        <v>0</v>
      </c>
      <c r="AQ21" s="145">
        <v>0</v>
      </c>
    </row>
    <row r="22" spans="2:43" ht="12" customHeight="1" x14ac:dyDescent="0.3">
      <c r="B22" s="143" t="s">
        <v>22</v>
      </c>
      <c r="C22" s="144" t="s">
        <v>82</v>
      </c>
      <c r="D22" s="144" t="s">
        <v>24</v>
      </c>
      <c r="E22" s="144" t="s">
        <v>24</v>
      </c>
      <c r="F22" s="144" t="s">
        <v>25</v>
      </c>
      <c r="G22" s="144" t="s">
        <v>493</v>
      </c>
      <c r="H22" s="144" t="s">
        <v>67</v>
      </c>
      <c r="I22" s="144" t="s">
        <v>25</v>
      </c>
      <c r="J22" s="144">
        <v>0</v>
      </c>
      <c r="K22" s="144">
        <v>0</v>
      </c>
      <c r="L22" s="144">
        <v>0</v>
      </c>
      <c r="M22" s="144">
        <v>0</v>
      </c>
      <c r="N22" s="144">
        <v>0</v>
      </c>
      <c r="O22" s="144">
        <v>0</v>
      </c>
      <c r="P22" s="144">
        <v>0</v>
      </c>
      <c r="Q22" s="144">
        <v>0</v>
      </c>
      <c r="R22" s="144">
        <v>0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0</v>
      </c>
      <c r="Y22" s="144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4">
        <v>0</v>
      </c>
      <c r="AG22" s="144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4">
        <v>0</v>
      </c>
      <c r="AO22" s="144">
        <v>0</v>
      </c>
      <c r="AP22" s="144">
        <v>0</v>
      </c>
      <c r="AQ22" s="145">
        <v>0</v>
      </c>
    </row>
    <row r="23" spans="2:43" ht="12" customHeight="1" x14ac:dyDescent="0.3">
      <c r="B23" s="143" t="s">
        <v>22</v>
      </c>
      <c r="C23" s="144" t="s">
        <v>82</v>
      </c>
      <c r="D23" s="144" t="s">
        <v>24</v>
      </c>
      <c r="E23" s="144" t="s">
        <v>24</v>
      </c>
      <c r="F23" s="144" t="s">
        <v>25</v>
      </c>
      <c r="G23" s="144" t="s">
        <v>39</v>
      </c>
      <c r="H23" s="144" t="s">
        <v>67</v>
      </c>
      <c r="I23" s="144" t="s">
        <v>25</v>
      </c>
      <c r="J23" s="144">
        <v>0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0</v>
      </c>
      <c r="Q23" s="144">
        <v>0</v>
      </c>
      <c r="R23" s="144">
        <v>0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0</v>
      </c>
      <c r="Y23" s="144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4">
        <v>0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4">
        <v>0</v>
      </c>
      <c r="AO23" s="144">
        <v>0</v>
      </c>
      <c r="AP23" s="144">
        <v>0</v>
      </c>
      <c r="AQ23" s="145">
        <v>0</v>
      </c>
    </row>
    <row r="24" spans="2:43" ht="12" customHeight="1" x14ac:dyDescent="0.3">
      <c r="B24" s="143" t="s">
        <v>22</v>
      </c>
      <c r="C24" s="144" t="s">
        <v>23</v>
      </c>
      <c r="D24" s="144" t="s">
        <v>24</v>
      </c>
      <c r="E24" s="144" t="s">
        <v>1018</v>
      </c>
      <c r="F24" s="144" t="s">
        <v>25</v>
      </c>
      <c r="G24" s="144" t="s">
        <v>25</v>
      </c>
      <c r="H24" s="144" t="s">
        <v>67</v>
      </c>
      <c r="I24" s="144" t="s">
        <v>25</v>
      </c>
      <c r="J24" s="144">
        <v>0</v>
      </c>
      <c r="K24" s="144">
        <v>0</v>
      </c>
      <c r="L24" s="144">
        <v>0</v>
      </c>
      <c r="M24" s="144">
        <v>0</v>
      </c>
      <c r="N24" s="144">
        <v>0</v>
      </c>
      <c r="O24" s="144">
        <v>0</v>
      </c>
      <c r="P24" s="144">
        <v>0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4">
        <v>0</v>
      </c>
      <c r="W24" s="144">
        <v>0</v>
      </c>
      <c r="X24" s="144">
        <v>0</v>
      </c>
      <c r="Y24" s="144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4">
        <v>0</v>
      </c>
      <c r="AG24" s="144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4">
        <v>0</v>
      </c>
      <c r="AO24" s="144">
        <v>0</v>
      </c>
      <c r="AP24" s="144">
        <v>0</v>
      </c>
      <c r="AQ24" s="145">
        <v>0</v>
      </c>
    </row>
    <row r="25" spans="2:43" ht="12" customHeight="1" x14ac:dyDescent="0.3">
      <c r="B25" s="143" t="s">
        <v>22</v>
      </c>
      <c r="C25" s="144" t="s">
        <v>23</v>
      </c>
      <c r="D25" s="144" t="s">
        <v>24</v>
      </c>
      <c r="E25" s="144" t="s">
        <v>24</v>
      </c>
      <c r="F25" s="144" t="s">
        <v>25</v>
      </c>
      <c r="G25" s="144" t="s">
        <v>25</v>
      </c>
      <c r="H25" s="144" t="s">
        <v>67</v>
      </c>
      <c r="I25" s="144" t="s">
        <v>25</v>
      </c>
      <c r="J25" s="144">
        <v>0</v>
      </c>
      <c r="K25" s="144">
        <v>0</v>
      </c>
      <c r="L25" s="144">
        <v>0</v>
      </c>
      <c r="M25" s="144">
        <v>0</v>
      </c>
      <c r="N25" s="144">
        <v>0</v>
      </c>
      <c r="O25" s="144">
        <v>0</v>
      </c>
      <c r="P25" s="144">
        <v>0</v>
      </c>
      <c r="Q25" s="144">
        <v>0</v>
      </c>
      <c r="R25" s="144">
        <v>0</v>
      </c>
      <c r="S25" s="144">
        <v>0</v>
      </c>
      <c r="T25" s="144">
        <v>0</v>
      </c>
      <c r="U25" s="144">
        <v>0</v>
      </c>
      <c r="V25" s="144">
        <v>0</v>
      </c>
      <c r="W25" s="144">
        <v>0</v>
      </c>
      <c r="X25" s="144">
        <v>0</v>
      </c>
      <c r="Y25" s="144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4">
        <v>0</v>
      </c>
      <c r="AG25" s="144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4">
        <v>0</v>
      </c>
      <c r="AO25" s="144">
        <v>0</v>
      </c>
      <c r="AP25" s="144">
        <v>0</v>
      </c>
      <c r="AQ25" s="145">
        <v>0</v>
      </c>
    </row>
    <row r="26" spans="2:43" ht="12" customHeight="1" x14ac:dyDescent="0.3">
      <c r="B26" s="143" t="s">
        <v>22</v>
      </c>
      <c r="C26" s="144" t="s">
        <v>84</v>
      </c>
      <c r="D26" s="144" t="s">
        <v>24</v>
      </c>
      <c r="E26" s="144" t="s">
        <v>1018</v>
      </c>
      <c r="F26" s="144" t="s">
        <v>25</v>
      </c>
      <c r="G26" s="144" t="s">
        <v>25</v>
      </c>
      <c r="H26" s="144" t="s">
        <v>67</v>
      </c>
      <c r="I26" s="144" t="s">
        <v>25</v>
      </c>
      <c r="J26" s="144">
        <v>0</v>
      </c>
      <c r="K26" s="144">
        <v>0</v>
      </c>
      <c r="L26" s="144">
        <v>0</v>
      </c>
      <c r="M26" s="144">
        <v>0</v>
      </c>
      <c r="N26" s="144">
        <v>0</v>
      </c>
      <c r="O26" s="144">
        <v>0</v>
      </c>
      <c r="P26" s="144">
        <v>0</v>
      </c>
      <c r="Q26" s="144">
        <v>0</v>
      </c>
      <c r="R26" s="144">
        <v>0</v>
      </c>
      <c r="S26" s="144">
        <v>0</v>
      </c>
      <c r="T26" s="144">
        <v>0</v>
      </c>
      <c r="U26" s="144">
        <v>0</v>
      </c>
      <c r="V26" s="144">
        <v>0</v>
      </c>
      <c r="W26" s="144">
        <v>0</v>
      </c>
      <c r="X26" s="144">
        <v>0</v>
      </c>
      <c r="Y26" s="144">
        <v>0</v>
      </c>
      <c r="Z26" s="144">
        <v>0</v>
      </c>
      <c r="AA26" s="144">
        <v>0</v>
      </c>
      <c r="AB26" s="144">
        <v>0</v>
      </c>
      <c r="AC26" s="144">
        <v>0</v>
      </c>
      <c r="AD26" s="144">
        <v>0</v>
      </c>
      <c r="AE26" s="144">
        <v>0</v>
      </c>
      <c r="AF26" s="144">
        <v>0</v>
      </c>
      <c r="AG26" s="144">
        <v>0</v>
      </c>
      <c r="AH26" s="144">
        <v>0</v>
      </c>
      <c r="AI26" s="144">
        <v>0</v>
      </c>
      <c r="AJ26" s="144">
        <v>0</v>
      </c>
      <c r="AK26" s="144">
        <v>0</v>
      </c>
      <c r="AL26" s="144">
        <v>0</v>
      </c>
      <c r="AM26" s="144">
        <v>0</v>
      </c>
      <c r="AN26" s="144">
        <v>0</v>
      </c>
      <c r="AO26" s="144">
        <v>0</v>
      </c>
      <c r="AP26" s="144">
        <v>0</v>
      </c>
      <c r="AQ26" s="145">
        <v>0</v>
      </c>
    </row>
    <row r="27" spans="2:43" ht="12" customHeight="1" x14ac:dyDescent="0.3">
      <c r="B27" s="143" t="s">
        <v>22</v>
      </c>
      <c r="C27" s="144" t="s">
        <v>84</v>
      </c>
      <c r="D27" s="144" t="s">
        <v>24</v>
      </c>
      <c r="E27" s="144" t="s">
        <v>24</v>
      </c>
      <c r="F27" s="144" t="s">
        <v>25</v>
      </c>
      <c r="G27" s="144" t="s">
        <v>25</v>
      </c>
      <c r="H27" s="144" t="s">
        <v>67</v>
      </c>
      <c r="I27" s="144" t="s">
        <v>25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  <c r="AB27" s="144">
        <v>0</v>
      </c>
      <c r="AC27" s="144">
        <v>0</v>
      </c>
      <c r="AD27" s="144">
        <v>0</v>
      </c>
      <c r="AE27" s="144">
        <v>0</v>
      </c>
      <c r="AF27" s="144">
        <v>0</v>
      </c>
      <c r="AG27" s="144">
        <v>0</v>
      </c>
      <c r="AH27" s="144">
        <v>0</v>
      </c>
      <c r="AI27" s="144">
        <v>0</v>
      </c>
      <c r="AJ27" s="144">
        <v>0</v>
      </c>
      <c r="AK27" s="144">
        <v>0</v>
      </c>
      <c r="AL27" s="144">
        <v>0</v>
      </c>
      <c r="AM27" s="144">
        <v>0</v>
      </c>
      <c r="AN27" s="144">
        <v>0</v>
      </c>
      <c r="AO27" s="144">
        <v>0</v>
      </c>
      <c r="AP27" s="144">
        <v>0</v>
      </c>
      <c r="AQ27" s="145">
        <v>0</v>
      </c>
    </row>
    <row r="28" spans="2:43" ht="12" customHeight="1" x14ac:dyDescent="0.3">
      <c r="B28" s="143" t="s">
        <v>40</v>
      </c>
      <c r="C28" s="144" t="s">
        <v>82</v>
      </c>
      <c r="D28" s="144" t="s">
        <v>41</v>
      </c>
      <c r="E28" s="144" t="s">
        <v>85</v>
      </c>
      <c r="F28" s="144" t="s">
        <v>25</v>
      </c>
      <c r="G28" s="144" t="s">
        <v>38</v>
      </c>
      <c r="H28" s="144" t="s">
        <v>67</v>
      </c>
      <c r="I28" s="144" t="s">
        <v>25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  <c r="AB28" s="144">
        <v>0</v>
      </c>
      <c r="AC28" s="144">
        <v>0</v>
      </c>
      <c r="AD28" s="144">
        <v>0</v>
      </c>
      <c r="AE28" s="144">
        <v>0</v>
      </c>
      <c r="AF28" s="144">
        <v>0</v>
      </c>
      <c r="AG28" s="144">
        <v>0</v>
      </c>
      <c r="AH28" s="144">
        <v>0</v>
      </c>
      <c r="AI28" s="144">
        <v>0</v>
      </c>
      <c r="AJ28" s="144">
        <v>0</v>
      </c>
      <c r="AK28" s="144">
        <v>0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5">
        <v>0</v>
      </c>
    </row>
    <row r="29" spans="2:43" ht="12" customHeight="1" x14ac:dyDescent="0.3">
      <c r="B29" s="143" t="s">
        <v>40</v>
      </c>
      <c r="C29" s="144" t="s">
        <v>82</v>
      </c>
      <c r="D29" s="144" t="s">
        <v>41</v>
      </c>
      <c r="E29" s="144" t="s">
        <v>85</v>
      </c>
      <c r="F29" s="144" t="s">
        <v>25</v>
      </c>
      <c r="G29" s="144" t="s">
        <v>493</v>
      </c>
      <c r="H29" s="144" t="s">
        <v>67</v>
      </c>
      <c r="I29" s="144" t="s">
        <v>25</v>
      </c>
      <c r="J29" s="144">
        <v>0</v>
      </c>
      <c r="K29" s="144">
        <v>0</v>
      </c>
      <c r="L29" s="144">
        <v>0</v>
      </c>
      <c r="M29" s="144">
        <v>0</v>
      </c>
      <c r="N29" s="144">
        <v>0</v>
      </c>
      <c r="O29" s="144">
        <v>0</v>
      </c>
      <c r="P29" s="144">
        <v>0</v>
      </c>
      <c r="Q29" s="144">
        <v>0</v>
      </c>
      <c r="R29" s="144">
        <v>0</v>
      </c>
      <c r="S29" s="144">
        <v>0</v>
      </c>
      <c r="T29" s="144">
        <v>0</v>
      </c>
      <c r="U29" s="144">
        <v>0</v>
      </c>
      <c r="V29" s="144">
        <v>0</v>
      </c>
      <c r="W29" s="144">
        <v>0</v>
      </c>
      <c r="X29" s="144">
        <v>0</v>
      </c>
      <c r="Y29" s="144">
        <v>0</v>
      </c>
      <c r="Z29" s="144">
        <v>0</v>
      </c>
      <c r="AA29" s="144">
        <v>0</v>
      </c>
      <c r="AB29" s="144">
        <v>0</v>
      </c>
      <c r="AC29" s="144">
        <v>0</v>
      </c>
      <c r="AD29" s="144">
        <v>0</v>
      </c>
      <c r="AE29" s="144">
        <v>0</v>
      </c>
      <c r="AF29" s="144">
        <v>0</v>
      </c>
      <c r="AG29" s="144">
        <v>0</v>
      </c>
      <c r="AH29" s="144">
        <v>0</v>
      </c>
      <c r="AI29" s="144">
        <v>0</v>
      </c>
      <c r="AJ29" s="144">
        <v>0</v>
      </c>
      <c r="AK29" s="144">
        <v>0</v>
      </c>
      <c r="AL29" s="144">
        <v>0</v>
      </c>
      <c r="AM29" s="144">
        <v>0</v>
      </c>
      <c r="AN29" s="144">
        <v>0</v>
      </c>
      <c r="AO29" s="144">
        <v>0</v>
      </c>
      <c r="AP29" s="144">
        <v>0</v>
      </c>
      <c r="AQ29" s="145">
        <v>0</v>
      </c>
    </row>
    <row r="30" spans="2:43" ht="12" customHeight="1" x14ac:dyDescent="0.3">
      <c r="B30" s="143" t="s">
        <v>40</v>
      </c>
      <c r="C30" s="144" t="s">
        <v>82</v>
      </c>
      <c r="D30" s="144" t="s">
        <v>41</v>
      </c>
      <c r="E30" s="144" t="s">
        <v>85</v>
      </c>
      <c r="F30" s="144" t="s">
        <v>25</v>
      </c>
      <c r="G30" s="144" t="s">
        <v>39</v>
      </c>
      <c r="H30" s="144" t="s">
        <v>67</v>
      </c>
      <c r="I30" s="144" t="s">
        <v>25</v>
      </c>
      <c r="J30" s="144">
        <v>0</v>
      </c>
      <c r="K30" s="144">
        <v>0</v>
      </c>
      <c r="L30" s="144">
        <v>0</v>
      </c>
      <c r="M30" s="144">
        <v>0</v>
      </c>
      <c r="N30" s="144">
        <v>0</v>
      </c>
      <c r="O30" s="144">
        <v>0</v>
      </c>
      <c r="P30" s="144">
        <v>0</v>
      </c>
      <c r="Q30" s="144">
        <v>0</v>
      </c>
      <c r="R30" s="144">
        <v>0</v>
      </c>
      <c r="S30" s="144">
        <v>0</v>
      </c>
      <c r="T30" s="144">
        <v>0</v>
      </c>
      <c r="U30" s="144">
        <v>0</v>
      </c>
      <c r="V30" s="144">
        <v>0</v>
      </c>
      <c r="W30" s="144">
        <v>0</v>
      </c>
      <c r="X30" s="144">
        <v>0</v>
      </c>
      <c r="Y30" s="144">
        <v>0</v>
      </c>
      <c r="Z30" s="144">
        <v>0</v>
      </c>
      <c r="AA30" s="144">
        <v>0</v>
      </c>
      <c r="AB30" s="144">
        <v>0</v>
      </c>
      <c r="AC30" s="144">
        <v>0</v>
      </c>
      <c r="AD30" s="144">
        <v>0</v>
      </c>
      <c r="AE30" s="144">
        <v>0</v>
      </c>
      <c r="AF30" s="144">
        <v>0</v>
      </c>
      <c r="AG30" s="144">
        <v>0</v>
      </c>
      <c r="AH30" s="144">
        <v>0</v>
      </c>
      <c r="AI30" s="144">
        <v>0</v>
      </c>
      <c r="AJ30" s="144">
        <v>0</v>
      </c>
      <c r="AK30" s="144">
        <v>0</v>
      </c>
      <c r="AL30" s="144">
        <v>0</v>
      </c>
      <c r="AM30" s="144">
        <v>0</v>
      </c>
      <c r="AN30" s="144">
        <v>0</v>
      </c>
      <c r="AO30" s="144">
        <v>0</v>
      </c>
      <c r="AP30" s="144">
        <v>0</v>
      </c>
      <c r="AQ30" s="145">
        <v>0</v>
      </c>
    </row>
    <row r="31" spans="2:43" ht="12" customHeight="1" x14ac:dyDescent="0.3">
      <c r="B31" s="143" t="s">
        <v>40</v>
      </c>
      <c r="C31" s="144" t="s">
        <v>82</v>
      </c>
      <c r="D31" s="144" t="s">
        <v>41</v>
      </c>
      <c r="E31" s="144" t="s">
        <v>25</v>
      </c>
      <c r="F31" s="144" t="s">
        <v>25</v>
      </c>
      <c r="G31" s="144" t="s">
        <v>38</v>
      </c>
      <c r="H31" s="144" t="s">
        <v>67</v>
      </c>
      <c r="I31" s="144" t="s">
        <v>25</v>
      </c>
      <c r="J31" s="144">
        <v>0</v>
      </c>
      <c r="K31" s="144">
        <v>0</v>
      </c>
      <c r="L31" s="144">
        <v>0</v>
      </c>
      <c r="M31" s="144">
        <v>0</v>
      </c>
      <c r="N31" s="144">
        <v>0</v>
      </c>
      <c r="O31" s="144">
        <v>0</v>
      </c>
      <c r="P31" s="144">
        <v>0</v>
      </c>
      <c r="Q31" s="144">
        <v>0</v>
      </c>
      <c r="R31" s="144">
        <v>0</v>
      </c>
      <c r="S31" s="144">
        <v>0</v>
      </c>
      <c r="T31" s="144">
        <v>0</v>
      </c>
      <c r="U31" s="144">
        <v>0</v>
      </c>
      <c r="V31" s="144">
        <v>0</v>
      </c>
      <c r="W31" s="144">
        <v>0</v>
      </c>
      <c r="X31" s="144">
        <v>0</v>
      </c>
      <c r="Y31" s="144">
        <v>0</v>
      </c>
      <c r="Z31" s="144">
        <v>0</v>
      </c>
      <c r="AA31" s="144">
        <v>0</v>
      </c>
      <c r="AB31" s="144">
        <v>0</v>
      </c>
      <c r="AC31" s="144">
        <v>0</v>
      </c>
      <c r="AD31" s="144">
        <v>0</v>
      </c>
      <c r="AE31" s="144">
        <v>0</v>
      </c>
      <c r="AF31" s="144">
        <v>0</v>
      </c>
      <c r="AG31" s="144">
        <v>0</v>
      </c>
      <c r="AH31" s="144">
        <v>0</v>
      </c>
      <c r="AI31" s="144">
        <v>0</v>
      </c>
      <c r="AJ31" s="144">
        <v>0</v>
      </c>
      <c r="AK31" s="144">
        <v>0</v>
      </c>
      <c r="AL31" s="144">
        <v>0</v>
      </c>
      <c r="AM31" s="144">
        <v>0</v>
      </c>
      <c r="AN31" s="144">
        <v>0</v>
      </c>
      <c r="AO31" s="144">
        <v>0</v>
      </c>
      <c r="AP31" s="144">
        <v>0</v>
      </c>
      <c r="AQ31" s="145">
        <v>0</v>
      </c>
    </row>
    <row r="32" spans="2:43" ht="12" customHeight="1" x14ac:dyDescent="0.3">
      <c r="B32" s="143" t="s">
        <v>40</v>
      </c>
      <c r="C32" s="144" t="s">
        <v>82</v>
      </c>
      <c r="D32" s="144" t="s">
        <v>41</v>
      </c>
      <c r="E32" s="144" t="s">
        <v>25</v>
      </c>
      <c r="F32" s="144" t="s">
        <v>25</v>
      </c>
      <c r="G32" s="144" t="s">
        <v>493</v>
      </c>
      <c r="H32" s="144" t="s">
        <v>67</v>
      </c>
      <c r="I32" s="144" t="s">
        <v>25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  <c r="AB32" s="144">
        <v>0</v>
      </c>
      <c r="AC32" s="144">
        <v>0</v>
      </c>
      <c r="AD32" s="144">
        <v>0</v>
      </c>
      <c r="AE32" s="144">
        <v>0</v>
      </c>
      <c r="AF32" s="144">
        <v>0</v>
      </c>
      <c r="AG32" s="144">
        <v>0</v>
      </c>
      <c r="AH32" s="144">
        <v>0</v>
      </c>
      <c r="AI32" s="144">
        <v>0</v>
      </c>
      <c r="AJ32" s="144">
        <v>0</v>
      </c>
      <c r="AK32" s="144">
        <v>0</v>
      </c>
      <c r="AL32" s="144">
        <v>0</v>
      </c>
      <c r="AM32" s="144">
        <v>0</v>
      </c>
      <c r="AN32" s="144">
        <v>0</v>
      </c>
      <c r="AO32" s="144">
        <v>0</v>
      </c>
      <c r="AP32" s="144">
        <v>0</v>
      </c>
      <c r="AQ32" s="145">
        <v>0</v>
      </c>
    </row>
    <row r="33" spans="2:43" ht="12" customHeight="1" x14ac:dyDescent="0.3">
      <c r="B33" s="143" t="s">
        <v>40</v>
      </c>
      <c r="C33" s="144" t="s">
        <v>82</v>
      </c>
      <c r="D33" s="144" t="s">
        <v>41</v>
      </c>
      <c r="E33" s="144" t="s">
        <v>25</v>
      </c>
      <c r="F33" s="144" t="s">
        <v>25</v>
      </c>
      <c r="G33" s="144" t="s">
        <v>39</v>
      </c>
      <c r="H33" s="144" t="s">
        <v>67</v>
      </c>
      <c r="I33" s="144" t="s">
        <v>25</v>
      </c>
      <c r="J33" s="144">
        <v>0</v>
      </c>
      <c r="K33" s="144">
        <v>0</v>
      </c>
      <c r="L33" s="144">
        <v>0</v>
      </c>
      <c r="M33" s="144">
        <v>0</v>
      </c>
      <c r="N33" s="144">
        <v>0</v>
      </c>
      <c r="O33" s="144">
        <v>0</v>
      </c>
      <c r="P33" s="144">
        <v>0</v>
      </c>
      <c r="Q33" s="144">
        <v>0</v>
      </c>
      <c r="R33" s="144">
        <v>0</v>
      </c>
      <c r="S33" s="144">
        <v>0</v>
      </c>
      <c r="T33" s="144">
        <v>0</v>
      </c>
      <c r="U33" s="144">
        <v>0</v>
      </c>
      <c r="V33" s="144">
        <v>0</v>
      </c>
      <c r="W33" s="144">
        <v>0</v>
      </c>
      <c r="X33" s="144">
        <v>0</v>
      </c>
      <c r="Y33" s="144">
        <v>0</v>
      </c>
      <c r="Z33" s="144">
        <v>0</v>
      </c>
      <c r="AA33" s="144">
        <v>0</v>
      </c>
      <c r="AB33" s="144">
        <v>0</v>
      </c>
      <c r="AC33" s="144">
        <v>0</v>
      </c>
      <c r="AD33" s="144">
        <v>0</v>
      </c>
      <c r="AE33" s="144">
        <v>0</v>
      </c>
      <c r="AF33" s="144">
        <v>0</v>
      </c>
      <c r="AG33" s="144">
        <v>0</v>
      </c>
      <c r="AH33" s="144">
        <v>0</v>
      </c>
      <c r="AI33" s="144">
        <v>0</v>
      </c>
      <c r="AJ33" s="144">
        <v>0</v>
      </c>
      <c r="AK33" s="144">
        <v>0</v>
      </c>
      <c r="AL33" s="144">
        <v>0</v>
      </c>
      <c r="AM33" s="144">
        <v>0</v>
      </c>
      <c r="AN33" s="144">
        <v>0</v>
      </c>
      <c r="AO33" s="144">
        <v>0</v>
      </c>
      <c r="AP33" s="144">
        <v>0</v>
      </c>
      <c r="AQ33" s="145">
        <v>0</v>
      </c>
    </row>
    <row r="34" spans="2:43" ht="12" customHeight="1" x14ac:dyDescent="0.3">
      <c r="B34" s="143" t="s">
        <v>40</v>
      </c>
      <c r="C34" s="144" t="s">
        <v>82</v>
      </c>
      <c r="D34" s="144" t="s">
        <v>41</v>
      </c>
      <c r="E34" s="144" t="s">
        <v>86</v>
      </c>
      <c r="F34" s="144" t="s">
        <v>25</v>
      </c>
      <c r="G34" s="144" t="s">
        <v>38</v>
      </c>
      <c r="H34" s="144" t="s">
        <v>67</v>
      </c>
      <c r="I34" s="144" t="s">
        <v>25</v>
      </c>
      <c r="J34" s="144">
        <v>0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0</v>
      </c>
      <c r="R34" s="144">
        <v>0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0</v>
      </c>
      <c r="Y34" s="144">
        <v>0</v>
      </c>
      <c r="Z34" s="144">
        <v>0</v>
      </c>
      <c r="AA34" s="144">
        <v>0</v>
      </c>
      <c r="AB34" s="144">
        <v>0</v>
      </c>
      <c r="AC34" s="144">
        <v>0</v>
      </c>
      <c r="AD34" s="144">
        <v>0</v>
      </c>
      <c r="AE34" s="144">
        <v>0</v>
      </c>
      <c r="AF34" s="144">
        <v>0</v>
      </c>
      <c r="AG34" s="144">
        <v>0</v>
      </c>
      <c r="AH34" s="144">
        <v>0</v>
      </c>
      <c r="AI34" s="144">
        <v>0</v>
      </c>
      <c r="AJ34" s="144">
        <v>0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5">
        <v>0</v>
      </c>
    </row>
    <row r="35" spans="2:43" ht="12" customHeight="1" x14ac:dyDescent="0.3">
      <c r="B35" s="143" t="s">
        <v>40</v>
      </c>
      <c r="C35" s="144" t="s">
        <v>82</v>
      </c>
      <c r="D35" s="144" t="s">
        <v>41</v>
      </c>
      <c r="E35" s="144" t="s">
        <v>86</v>
      </c>
      <c r="F35" s="144" t="s">
        <v>25</v>
      </c>
      <c r="G35" s="144" t="s">
        <v>493</v>
      </c>
      <c r="H35" s="144" t="s">
        <v>67</v>
      </c>
      <c r="I35" s="144" t="s">
        <v>25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  <c r="Q35" s="144">
        <v>0</v>
      </c>
      <c r="R35" s="144">
        <v>0</v>
      </c>
      <c r="S35" s="144">
        <v>0</v>
      </c>
      <c r="T35" s="144">
        <v>0</v>
      </c>
      <c r="U35" s="144">
        <v>0</v>
      </c>
      <c r="V35" s="144">
        <v>0</v>
      </c>
      <c r="W35" s="144">
        <v>0</v>
      </c>
      <c r="X35" s="144">
        <v>0</v>
      </c>
      <c r="Y35" s="144">
        <v>0</v>
      </c>
      <c r="Z35" s="144">
        <v>0</v>
      </c>
      <c r="AA35" s="144">
        <v>0</v>
      </c>
      <c r="AB35" s="144">
        <v>0</v>
      </c>
      <c r="AC35" s="144">
        <v>0</v>
      </c>
      <c r="AD35" s="144">
        <v>0</v>
      </c>
      <c r="AE35" s="144">
        <v>0</v>
      </c>
      <c r="AF35" s="144">
        <v>0</v>
      </c>
      <c r="AG35" s="144">
        <v>0</v>
      </c>
      <c r="AH35" s="144">
        <v>0</v>
      </c>
      <c r="AI35" s="144">
        <v>0</v>
      </c>
      <c r="AJ35" s="144">
        <v>0</v>
      </c>
      <c r="AK35" s="144">
        <v>0</v>
      </c>
      <c r="AL35" s="144">
        <v>0</v>
      </c>
      <c r="AM35" s="144">
        <v>0</v>
      </c>
      <c r="AN35" s="144">
        <v>0</v>
      </c>
      <c r="AO35" s="144">
        <v>0</v>
      </c>
      <c r="AP35" s="144">
        <v>0</v>
      </c>
      <c r="AQ35" s="145">
        <v>0</v>
      </c>
    </row>
    <row r="36" spans="2:43" ht="12" customHeight="1" x14ac:dyDescent="0.3">
      <c r="B36" s="143" t="s">
        <v>40</v>
      </c>
      <c r="C36" s="144" t="s">
        <v>82</v>
      </c>
      <c r="D36" s="144" t="s">
        <v>41</v>
      </c>
      <c r="E36" s="144" t="s">
        <v>86</v>
      </c>
      <c r="F36" s="144" t="s">
        <v>25</v>
      </c>
      <c r="G36" s="144" t="s">
        <v>39</v>
      </c>
      <c r="H36" s="144" t="s">
        <v>67</v>
      </c>
      <c r="I36" s="144" t="s">
        <v>25</v>
      </c>
      <c r="J36" s="144">
        <v>0</v>
      </c>
      <c r="K36" s="144">
        <v>0</v>
      </c>
      <c r="L36" s="144">
        <v>0</v>
      </c>
      <c r="M36" s="144">
        <v>0</v>
      </c>
      <c r="N36" s="144">
        <v>0</v>
      </c>
      <c r="O36" s="144">
        <v>0</v>
      </c>
      <c r="P36" s="144">
        <v>0</v>
      </c>
      <c r="Q36" s="144">
        <v>0</v>
      </c>
      <c r="R36" s="144">
        <v>0</v>
      </c>
      <c r="S36" s="144">
        <v>0</v>
      </c>
      <c r="T36" s="144">
        <v>0</v>
      </c>
      <c r="U36" s="144">
        <v>0</v>
      </c>
      <c r="V36" s="144">
        <v>0</v>
      </c>
      <c r="W36" s="144">
        <v>0</v>
      </c>
      <c r="X36" s="144">
        <v>0</v>
      </c>
      <c r="Y36" s="144">
        <v>0</v>
      </c>
      <c r="Z36" s="144">
        <v>0</v>
      </c>
      <c r="AA36" s="144">
        <v>0</v>
      </c>
      <c r="AB36" s="144">
        <v>0</v>
      </c>
      <c r="AC36" s="144">
        <v>0</v>
      </c>
      <c r="AD36" s="144">
        <v>0</v>
      </c>
      <c r="AE36" s="144">
        <v>0</v>
      </c>
      <c r="AF36" s="144">
        <v>0</v>
      </c>
      <c r="AG36" s="144">
        <v>0</v>
      </c>
      <c r="AH36" s="144">
        <v>0</v>
      </c>
      <c r="AI36" s="144">
        <v>0</v>
      </c>
      <c r="AJ36" s="144">
        <v>0</v>
      </c>
      <c r="AK36" s="144">
        <v>0</v>
      </c>
      <c r="AL36" s="144">
        <v>0</v>
      </c>
      <c r="AM36" s="144">
        <v>0</v>
      </c>
      <c r="AN36" s="144">
        <v>0</v>
      </c>
      <c r="AO36" s="144">
        <v>0</v>
      </c>
      <c r="AP36" s="144">
        <v>0</v>
      </c>
      <c r="AQ36" s="145">
        <v>0</v>
      </c>
    </row>
    <row r="37" spans="2:43" ht="12" customHeight="1" x14ac:dyDescent="0.3">
      <c r="B37" s="143" t="s">
        <v>40</v>
      </c>
      <c r="C37" s="144" t="s">
        <v>23</v>
      </c>
      <c r="D37" s="144" t="s">
        <v>41</v>
      </c>
      <c r="E37" s="144" t="s">
        <v>85</v>
      </c>
      <c r="F37" s="144" t="s">
        <v>25</v>
      </c>
      <c r="G37" s="144" t="s">
        <v>25</v>
      </c>
      <c r="H37" s="144" t="s">
        <v>67</v>
      </c>
      <c r="I37" s="144" t="s">
        <v>25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  <c r="AB37" s="144">
        <v>0</v>
      </c>
      <c r="AC37" s="144">
        <v>0</v>
      </c>
      <c r="AD37" s="144">
        <v>0</v>
      </c>
      <c r="AE37" s="144">
        <v>0</v>
      </c>
      <c r="AF37" s="144">
        <v>0</v>
      </c>
      <c r="AG37" s="144">
        <v>0</v>
      </c>
      <c r="AH37" s="144">
        <v>0</v>
      </c>
      <c r="AI37" s="144">
        <v>0</v>
      </c>
      <c r="AJ37" s="144">
        <v>0</v>
      </c>
      <c r="AK37" s="144">
        <v>0</v>
      </c>
      <c r="AL37" s="144">
        <v>0</v>
      </c>
      <c r="AM37" s="144">
        <v>0</v>
      </c>
      <c r="AN37" s="144">
        <v>0</v>
      </c>
      <c r="AO37" s="144">
        <v>0</v>
      </c>
      <c r="AP37" s="144">
        <v>0</v>
      </c>
      <c r="AQ37" s="145">
        <v>0</v>
      </c>
    </row>
    <row r="38" spans="2:43" ht="12" customHeight="1" x14ac:dyDescent="0.3">
      <c r="B38" s="143" t="s">
        <v>40</v>
      </c>
      <c r="C38" s="144" t="s">
        <v>23</v>
      </c>
      <c r="D38" s="144" t="s">
        <v>41</v>
      </c>
      <c r="E38" s="144" t="s">
        <v>25</v>
      </c>
      <c r="F38" s="144" t="s">
        <v>25</v>
      </c>
      <c r="G38" s="144" t="s">
        <v>25</v>
      </c>
      <c r="H38" s="144" t="s">
        <v>67</v>
      </c>
      <c r="I38" s="144" t="s">
        <v>25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  <c r="AB38" s="144">
        <v>0</v>
      </c>
      <c r="AC38" s="144">
        <v>0</v>
      </c>
      <c r="AD38" s="144">
        <v>0</v>
      </c>
      <c r="AE38" s="144">
        <v>0</v>
      </c>
      <c r="AF38" s="144">
        <v>0</v>
      </c>
      <c r="AG38" s="144">
        <v>0</v>
      </c>
      <c r="AH38" s="144">
        <v>0</v>
      </c>
      <c r="AI38" s="144">
        <v>0</v>
      </c>
      <c r="AJ38" s="144">
        <v>0</v>
      </c>
      <c r="AK38" s="144">
        <v>0</v>
      </c>
      <c r="AL38" s="144">
        <v>0</v>
      </c>
      <c r="AM38" s="144">
        <v>0</v>
      </c>
      <c r="AN38" s="144">
        <v>0</v>
      </c>
      <c r="AO38" s="144">
        <v>0</v>
      </c>
      <c r="AP38" s="144">
        <v>0</v>
      </c>
      <c r="AQ38" s="145">
        <v>0</v>
      </c>
    </row>
    <row r="39" spans="2:43" ht="12" customHeight="1" x14ac:dyDescent="0.3">
      <c r="B39" s="143" t="s">
        <v>40</v>
      </c>
      <c r="C39" s="144" t="s">
        <v>23</v>
      </c>
      <c r="D39" s="144" t="s">
        <v>41</v>
      </c>
      <c r="E39" s="144" t="s">
        <v>86</v>
      </c>
      <c r="F39" s="144" t="s">
        <v>25</v>
      </c>
      <c r="G39" s="144" t="s">
        <v>25</v>
      </c>
      <c r="H39" s="144" t="s">
        <v>67</v>
      </c>
      <c r="I39" s="144" t="s">
        <v>25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  <c r="AB39" s="144">
        <v>0</v>
      </c>
      <c r="AC39" s="144">
        <v>0</v>
      </c>
      <c r="AD39" s="144">
        <v>0</v>
      </c>
      <c r="AE39" s="144">
        <v>0</v>
      </c>
      <c r="AF39" s="144">
        <v>0</v>
      </c>
      <c r="AG39" s="144">
        <v>0</v>
      </c>
      <c r="AH39" s="144">
        <v>0</v>
      </c>
      <c r="AI39" s="144">
        <v>0</v>
      </c>
      <c r="AJ39" s="144">
        <v>0</v>
      </c>
      <c r="AK39" s="144">
        <v>0</v>
      </c>
      <c r="AL39" s="144">
        <v>0</v>
      </c>
      <c r="AM39" s="144">
        <v>0</v>
      </c>
      <c r="AN39" s="144">
        <v>0</v>
      </c>
      <c r="AO39" s="144">
        <v>0</v>
      </c>
      <c r="AP39" s="144">
        <v>0</v>
      </c>
      <c r="AQ39" s="145">
        <v>0</v>
      </c>
    </row>
    <row r="40" spans="2:43" ht="12" customHeight="1" x14ac:dyDescent="0.3">
      <c r="B40" s="143" t="s">
        <v>40</v>
      </c>
      <c r="C40" s="144" t="s">
        <v>84</v>
      </c>
      <c r="D40" s="144" t="s">
        <v>41</v>
      </c>
      <c r="E40" s="144" t="s">
        <v>85</v>
      </c>
      <c r="F40" s="144" t="s">
        <v>25</v>
      </c>
      <c r="G40" s="144" t="s">
        <v>25</v>
      </c>
      <c r="H40" s="144" t="s">
        <v>67</v>
      </c>
      <c r="I40" s="144" t="s">
        <v>25</v>
      </c>
      <c r="J40" s="144">
        <v>0</v>
      </c>
      <c r="K40" s="144">
        <v>0</v>
      </c>
      <c r="L40" s="144">
        <v>0</v>
      </c>
      <c r="M40" s="144">
        <v>0</v>
      </c>
      <c r="N40" s="144">
        <v>0</v>
      </c>
      <c r="O40" s="144">
        <v>0</v>
      </c>
      <c r="P40" s="144">
        <v>0</v>
      </c>
      <c r="Q40" s="144">
        <v>0</v>
      </c>
      <c r="R40" s="144">
        <v>0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0</v>
      </c>
      <c r="Y40" s="144">
        <v>0</v>
      </c>
      <c r="Z40" s="144">
        <v>0</v>
      </c>
      <c r="AA40" s="144">
        <v>0</v>
      </c>
      <c r="AB40" s="144">
        <v>0</v>
      </c>
      <c r="AC40" s="144">
        <v>0</v>
      </c>
      <c r="AD40" s="144">
        <v>0</v>
      </c>
      <c r="AE40" s="144">
        <v>0</v>
      </c>
      <c r="AF40" s="144">
        <v>0</v>
      </c>
      <c r="AG40" s="144">
        <v>0</v>
      </c>
      <c r="AH40" s="144">
        <v>0</v>
      </c>
      <c r="AI40" s="144">
        <v>0</v>
      </c>
      <c r="AJ40" s="144">
        <v>0</v>
      </c>
      <c r="AK40" s="144">
        <v>0</v>
      </c>
      <c r="AL40" s="144">
        <v>0</v>
      </c>
      <c r="AM40" s="144">
        <v>0</v>
      </c>
      <c r="AN40" s="144">
        <v>0</v>
      </c>
      <c r="AO40" s="144">
        <v>0</v>
      </c>
      <c r="AP40" s="144">
        <v>0</v>
      </c>
      <c r="AQ40" s="145">
        <v>0</v>
      </c>
    </row>
    <row r="41" spans="2:43" ht="12" customHeight="1" x14ac:dyDescent="0.3">
      <c r="B41" s="143" t="s">
        <v>40</v>
      </c>
      <c r="C41" s="144" t="s">
        <v>84</v>
      </c>
      <c r="D41" s="144" t="s">
        <v>41</v>
      </c>
      <c r="E41" s="144" t="s">
        <v>25</v>
      </c>
      <c r="F41" s="144" t="s">
        <v>25</v>
      </c>
      <c r="G41" s="144" t="s">
        <v>25</v>
      </c>
      <c r="H41" s="144" t="s">
        <v>67</v>
      </c>
      <c r="I41" s="144" t="s">
        <v>25</v>
      </c>
      <c r="J41" s="144">
        <v>0</v>
      </c>
      <c r="K41" s="144">
        <v>0</v>
      </c>
      <c r="L41" s="144">
        <v>0</v>
      </c>
      <c r="M41" s="144">
        <v>0</v>
      </c>
      <c r="N41" s="144">
        <v>0</v>
      </c>
      <c r="O41" s="144">
        <v>0</v>
      </c>
      <c r="P41" s="144">
        <v>0</v>
      </c>
      <c r="Q41" s="144">
        <v>0</v>
      </c>
      <c r="R41" s="144">
        <v>0</v>
      </c>
      <c r="S41" s="144">
        <v>0</v>
      </c>
      <c r="T41" s="144">
        <v>0</v>
      </c>
      <c r="U41" s="144">
        <v>0</v>
      </c>
      <c r="V41" s="144">
        <v>0</v>
      </c>
      <c r="W41" s="144">
        <v>0</v>
      </c>
      <c r="X41" s="144">
        <v>0</v>
      </c>
      <c r="Y41" s="144">
        <v>0</v>
      </c>
      <c r="Z41" s="144">
        <v>0</v>
      </c>
      <c r="AA41" s="144">
        <v>0</v>
      </c>
      <c r="AB41" s="144">
        <v>0</v>
      </c>
      <c r="AC41" s="144">
        <v>0</v>
      </c>
      <c r="AD41" s="144">
        <v>0</v>
      </c>
      <c r="AE41" s="144">
        <v>0</v>
      </c>
      <c r="AF41" s="144">
        <v>0</v>
      </c>
      <c r="AG41" s="144">
        <v>0</v>
      </c>
      <c r="AH41" s="144">
        <v>0</v>
      </c>
      <c r="AI41" s="144">
        <v>0</v>
      </c>
      <c r="AJ41" s="144">
        <v>0</v>
      </c>
      <c r="AK41" s="144">
        <v>0</v>
      </c>
      <c r="AL41" s="144">
        <v>0</v>
      </c>
      <c r="AM41" s="144">
        <v>0</v>
      </c>
      <c r="AN41" s="144">
        <v>0</v>
      </c>
      <c r="AO41" s="144">
        <v>0</v>
      </c>
      <c r="AP41" s="144">
        <v>0</v>
      </c>
      <c r="AQ41" s="145">
        <v>0</v>
      </c>
    </row>
    <row r="42" spans="2:43" ht="12" customHeight="1" x14ac:dyDescent="0.3">
      <c r="B42" s="143" t="s">
        <v>40</v>
      </c>
      <c r="C42" s="144" t="s">
        <v>84</v>
      </c>
      <c r="D42" s="144" t="s">
        <v>41</v>
      </c>
      <c r="E42" s="144" t="s">
        <v>86</v>
      </c>
      <c r="F42" s="144" t="s">
        <v>25</v>
      </c>
      <c r="G42" s="144" t="s">
        <v>25</v>
      </c>
      <c r="H42" s="144" t="s">
        <v>67</v>
      </c>
      <c r="I42" s="144" t="s">
        <v>25</v>
      </c>
      <c r="J42" s="144">
        <v>0</v>
      </c>
      <c r="K42" s="144">
        <v>0</v>
      </c>
      <c r="L42" s="144">
        <v>0</v>
      </c>
      <c r="M42" s="144">
        <v>0</v>
      </c>
      <c r="N42" s="144">
        <v>0</v>
      </c>
      <c r="O42" s="144">
        <v>0</v>
      </c>
      <c r="P42" s="144">
        <v>0</v>
      </c>
      <c r="Q42" s="144">
        <v>0</v>
      </c>
      <c r="R42" s="144">
        <v>0</v>
      </c>
      <c r="S42" s="144">
        <v>0</v>
      </c>
      <c r="T42" s="144">
        <v>0</v>
      </c>
      <c r="U42" s="144">
        <v>0</v>
      </c>
      <c r="V42" s="144">
        <v>0</v>
      </c>
      <c r="W42" s="144">
        <v>0</v>
      </c>
      <c r="X42" s="144">
        <v>0</v>
      </c>
      <c r="Y42" s="144">
        <v>0</v>
      </c>
      <c r="Z42" s="144">
        <v>0</v>
      </c>
      <c r="AA42" s="144">
        <v>0</v>
      </c>
      <c r="AB42" s="144">
        <v>0</v>
      </c>
      <c r="AC42" s="144">
        <v>0</v>
      </c>
      <c r="AD42" s="144">
        <v>0</v>
      </c>
      <c r="AE42" s="144">
        <v>0</v>
      </c>
      <c r="AF42" s="144">
        <v>0</v>
      </c>
      <c r="AG42" s="144">
        <v>0</v>
      </c>
      <c r="AH42" s="144">
        <v>0</v>
      </c>
      <c r="AI42" s="144">
        <v>0</v>
      </c>
      <c r="AJ42" s="144">
        <v>0</v>
      </c>
      <c r="AK42" s="144">
        <v>0</v>
      </c>
      <c r="AL42" s="144">
        <v>0</v>
      </c>
      <c r="AM42" s="144">
        <v>0</v>
      </c>
      <c r="AN42" s="144">
        <v>0</v>
      </c>
      <c r="AO42" s="144">
        <v>0</v>
      </c>
      <c r="AP42" s="144">
        <v>0</v>
      </c>
      <c r="AQ42" s="145">
        <v>0</v>
      </c>
    </row>
    <row r="43" spans="2:43" ht="12" customHeight="1" x14ac:dyDescent="0.3">
      <c r="B43" s="143" t="s">
        <v>33</v>
      </c>
      <c r="C43" s="144" t="s">
        <v>82</v>
      </c>
      <c r="D43" s="144" t="s">
        <v>25</v>
      </c>
      <c r="E43" s="144" t="s">
        <v>25</v>
      </c>
      <c r="F43" s="144" t="s">
        <v>25</v>
      </c>
      <c r="G43" s="144" t="s">
        <v>38</v>
      </c>
      <c r="H43" s="144" t="s">
        <v>67</v>
      </c>
      <c r="I43" s="144" t="s">
        <v>25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  <c r="AB43" s="144">
        <v>0</v>
      </c>
      <c r="AC43" s="144">
        <v>0</v>
      </c>
      <c r="AD43" s="144">
        <v>0</v>
      </c>
      <c r="AE43" s="144">
        <v>0</v>
      </c>
      <c r="AF43" s="144">
        <v>0</v>
      </c>
      <c r="AG43" s="144">
        <v>0</v>
      </c>
      <c r="AH43" s="144">
        <v>0</v>
      </c>
      <c r="AI43" s="144">
        <v>0</v>
      </c>
      <c r="AJ43" s="144">
        <v>0</v>
      </c>
      <c r="AK43" s="144">
        <v>0</v>
      </c>
      <c r="AL43" s="144">
        <v>0</v>
      </c>
      <c r="AM43" s="144">
        <v>0</v>
      </c>
      <c r="AN43" s="144">
        <v>0</v>
      </c>
      <c r="AO43" s="144">
        <v>0</v>
      </c>
      <c r="AP43" s="144">
        <v>0</v>
      </c>
      <c r="AQ43" s="145">
        <v>0</v>
      </c>
    </row>
    <row r="44" spans="2:43" ht="12" customHeight="1" x14ac:dyDescent="0.3">
      <c r="B44" s="143" t="s">
        <v>33</v>
      </c>
      <c r="C44" s="144" t="s">
        <v>82</v>
      </c>
      <c r="D44" s="144" t="s">
        <v>25</v>
      </c>
      <c r="E44" s="144" t="s">
        <v>25</v>
      </c>
      <c r="F44" s="144" t="s">
        <v>25</v>
      </c>
      <c r="G44" s="144" t="s">
        <v>493</v>
      </c>
      <c r="H44" s="144" t="s">
        <v>67</v>
      </c>
      <c r="I44" s="144" t="s">
        <v>25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  <c r="AB44" s="144">
        <v>0</v>
      </c>
      <c r="AC44" s="144">
        <v>0</v>
      </c>
      <c r="AD44" s="144">
        <v>0</v>
      </c>
      <c r="AE44" s="144">
        <v>0</v>
      </c>
      <c r="AF44" s="144">
        <v>0</v>
      </c>
      <c r="AG44" s="144">
        <v>0</v>
      </c>
      <c r="AH44" s="144">
        <v>0</v>
      </c>
      <c r="AI44" s="144">
        <v>0</v>
      </c>
      <c r="AJ44" s="144">
        <v>0</v>
      </c>
      <c r="AK44" s="144">
        <v>0</v>
      </c>
      <c r="AL44" s="144">
        <v>0</v>
      </c>
      <c r="AM44" s="144">
        <v>0</v>
      </c>
      <c r="AN44" s="144">
        <v>0</v>
      </c>
      <c r="AO44" s="144">
        <v>0</v>
      </c>
      <c r="AP44" s="144">
        <v>0</v>
      </c>
      <c r="AQ44" s="145">
        <v>0</v>
      </c>
    </row>
    <row r="45" spans="2:43" ht="12" customHeight="1" x14ac:dyDescent="0.3">
      <c r="B45" s="143" t="s">
        <v>33</v>
      </c>
      <c r="C45" s="144" t="s">
        <v>82</v>
      </c>
      <c r="D45" s="144" t="s">
        <v>25</v>
      </c>
      <c r="E45" s="144" t="s">
        <v>25</v>
      </c>
      <c r="F45" s="144" t="s">
        <v>25</v>
      </c>
      <c r="G45" s="144" t="s">
        <v>39</v>
      </c>
      <c r="H45" s="144" t="s">
        <v>67</v>
      </c>
      <c r="I45" s="144" t="s">
        <v>25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  <c r="AB45" s="144">
        <v>0</v>
      </c>
      <c r="AC45" s="144">
        <v>0</v>
      </c>
      <c r="AD45" s="144">
        <v>0</v>
      </c>
      <c r="AE45" s="144">
        <v>0</v>
      </c>
      <c r="AF45" s="144">
        <v>0</v>
      </c>
      <c r="AG45" s="144">
        <v>0</v>
      </c>
      <c r="AH45" s="144">
        <v>0</v>
      </c>
      <c r="AI45" s="144">
        <v>0</v>
      </c>
      <c r="AJ45" s="144">
        <v>0</v>
      </c>
      <c r="AK45" s="144">
        <v>0</v>
      </c>
      <c r="AL45" s="144">
        <v>0</v>
      </c>
      <c r="AM45" s="144">
        <v>0</v>
      </c>
      <c r="AN45" s="144">
        <v>0</v>
      </c>
      <c r="AO45" s="144">
        <v>0</v>
      </c>
      <c r="AP45" s="144">
        <v>0</v>
      </c>
      <c r="AQ45" s="145">
        <v>0</v>
      </c>
    </row>
    <row r="46" spans="2:43" ht="12" customHeight="1" x14ac:dyDescent="0.3">
      <c r="B46" s="143" t="s">
        <v>33</v>
      </c>
      <c r="C46" s="144" t="s">
        <v>23</v>
      </c>
      <c r="D46" s="144" t="s">
        <v>25</v>
      </c>
      <c r="E46" s="144" t="s">
        <v>25</v>
      </c>
      <c r="F46" s="144" t="s">
        <v>25</v>
      </c>
      <c r="G46" s="144" t="s">
        <v>25</v>
      </c>
      <c r="H46" s="144" t="s">
        <v>67</v>
      </c>
      <c r="I46" s="144" t="s">
        <v>25</v>
      </c>
      <c r="J46" s="144">
        <v>0</v>
      </c>
      <c r="K46" s="144">
        <v>0</v>
      </c>
      <c r="L46" s="144">
        <v>0</v>
      </c>
      <c r="M46" s="144">
        <v>0</v>
      </c>
      <c r="N46" s="144">
        <v>0</v>
      </c>
      <c r="O46" s="144">
        <v>0</v>
      </c>
      <c r="P46" s="144">
        <v>0</v>
      </c>
      <c r="Q46" s="144">
        <v>0</v>
      </c>
      <c r="R46" s="144">
        <v>0</v>
      </c>
      <c r="S46" s="144">
        <v>0</v>
      </c>
      <c r="T46" s="144">
        <v>0</v>
      </c>
      <c r="U46" s="144">
        <v>0</v>
      </c>
      <c r="V46" s="144">
        <v>0</v>
      </c>
      <c r="W46" s="144">
        <v>0</v>
      </c>
      <c r="X46" s="144">
        <v>0</v>
      </c>
      <c r="Y46" s="144">
        <v>0</v>
      </c>
      <c r="Z46" s="144">
        <v>0</v>
      </c>
      <c r="AA46" s="144">
        <v>0</v>
      </c>
      <c r="AB46" s="144">
        <v>0</v>
      </c>
      <c r="AC46" s="144">
        <v>0</v>
      </c>
      <c r="AD46" s="144">
        <v>0</v>
      </c>
      <c r="AE46" s="144">
        <v>0</v>
      </c>
      <c r="AF46" s="144">
        <v>0</v>
      </c>
      <c r="AG46" s="144">
        <v>0</v>
      </c>
      <c r="AH46" s="144">
        <v>0</v>
      </c>
      <c r="AI46" s="144">
        <v>0</v>
      </c>
      <c r="AJ46" s="144">
        <v>0</v>
      </c>
      <c r="AK46" s="144">
        <v>0</v>
      </c>
      <c r="AL46" s="144">
        <v>0</v>
      </c>
      <c r="AM46" s="144">
        <v>0</v>
      </c>
      <c r="AN46" s="144">
        <v>0</v>
      </c>
      <c r="AO46" s="144">
        <v>0</v>
      </c>
      <c r="AP46" s="144">
        <v>0</v>
      </c>
      <c r="AQ46" s="145">
        <v>0</v>
      </c>
    </row>
    <row r="47" spans="2:43" ht="12" customHeight="1" x14ac:dyDescent="0.3">
      <c r="B47" s="143" t="s">
        <v>33</v>
      </c>
      <c r="C47" s="144" t="s">
        <v>84</v>
      </c>
      <c r="D47" s="144" t="s">
        <v>25</v>
      </c>
      <c r="E47" s="144" t="s">
        <v>25</v>
      </c>
      <c r="F47" s="144" t="s">
        <v>25</v>
      </c>
      <c r="G47" s="144" t="s">
        <v>25</v>
      </c>
      <c r="H47" s="144" t="s">
        <v>67</v>
      </c>
      <c r="I47" s="144" t="s">
        <v>25</v>
      </c>
      <c r="J47" s="144">
        <v>0</v>
      </c>
      <c r="K47" s="144">
        <v>0</v>
      </c>
      <c r="L47" s="144">
        <v>0</v>
      </c>
      <c r="M47" s="144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4">
        <v>0</v>
      </c>
      <c r="W47" s="144">
        <v>0</v>
      </c>
      <c r="X47" s="144">
        <v>0</v>
      </c>
      <c r="Y47" s="144">
        <v>0</v>
      </c>
      <c r="Z47" s="144">
        <v>0</v>
      </c>
      <c r="AA47" s="144">
        <v>0</v>
      </c>
      <c r="AB47" s="144">
        <v>0</v>
      </c>
      <c r="AC47" s="144">
        <v>0</v>
      </c>
      <c r="AD47" s="144">
        <v>0</v>
      </c>
      <c r="AE47" s="144">
        <v>0</v>
      </c>
      <c r="AF47" s="144">
        <v>0</v>
      </c>
      <c r="AG47" s="144">
        <v>0</v>
      </c>
      <c r="AH47" s="144">
        <v>0</v>
      </c>
      <c r="AI47" s="144">
        <v>0</v>
      </c>
      <c r="AJ47" s="144">
        <v>0</v>
      </c>
      <c r="AK47" s="144">
        <v>0</v>
      </c>
      <c r="AL47" s="144">
        <v>0</v>
      </c>
      <c r="AM47" s="144">
        <v>0</v>
      </c>
      <c r="AN47" s="144">
        <v>0</v>
      </c>
      <c r="AO47" s="144">
        <v>0</v>
      </c>
      <c r="AP47" s="144">
        <v>0</v>
      </c>
      <c r="AQ47" s="145">
        <v>0</v>
      </c>
    </row>
    <row r="48" spans="2:43" ht="12" customHeight="1" x14ac:dyDescent="0.3">
      <c r="B48" s="143" t="s">
        <v>43</v>
      </c>
      <c r="C48" s="144" t="s">
        <v>23</v>
      </c>
      <c r="D48" s="144" t="s">
        <v>44</v>
      </c>
      <c r="E48" s="144" t="s">
        <v>45</v>
      </c>
      <c r="F48" s="144" t="s">
        <v>25</v>
      </c>
      <c r="G48" s="144" t="s">
        <v>25</v>
      </c>
      <c r="H48" s="144" t="s">
        <v>67</v>
      </c>
      <c r="I48" s="144" t="s">
        <v>25</v>
      </c>
      <c r="J48" s="144">
        <v>0</v>
      </c>
      <c r="K48" s="144">
        <v>0</v>
      </c>
      <c r="L48" s="144">
        <v>0</v>
      </c>
      <c r="M48" s="144">
        <v>0</v>
      </c>
      <c r="N48" s="144">
        <v>0</v>
      </c>
      <c r="O48" s="144">
        <v>0</v>
      </c>
      <c r="P48" s="144">
        <v>0</v>
      </c>
      <c r="Q48" s="144">
        <v>0</v>
      </c>
      <c r="R48" s="144">
        <v>0</v>
      </c>
      <c r="S48" s="144">
        <v>0</v>
      </c>
      <c r="T48" s="144">
        <v>0</v>
      </c>
      <c r="U48" s="144">
        <v>0</v>
      </c>
      <c r="V48" s="144">
        <v>0</v>
      </c>
      <c r="W48" s="144">
        <v>0</v>
      </c>
      <c r="X48" s="144">
        <v>0</v>
      </c>
      <c r="Y48" s="144">
        <v>0</v>
      </c>
      <c r="Z48" s="144">
        <v>0</v>
      </c>
      <c r="AA48" s="144">
        <v>0</v>
      </c>
      <c r="AB48" s="144">
        <v>0</v>
      </c>
      <c r="AC48" s="144">
        <v>0</v>
      </c>
      <c r="AD48" s="144">
        <v>0</v>
      </c>
      <c r="AE48" s="144">
        <v>0</v>
      </c>
      <c r="AF48" s="144">
        <v>0</v>
      </c>
      <c r="AG48" s="144">
        <v>0</v>
      </c>
      <c r="AH48" s="144">
        <v>0</v>
      </c>
      <c r="AI48" s="144">
        <v>0</v>
      </c>
      <c r="AJ48" s="144">
        <v>0</v>
      </c>
      <c r="AK48" s="144">
        <v>0</v>
      </c>
      <c r="AL48" s="144">
        <v>0</v>
      </c>
      <c r="AM48" s="144">
        <v>0</v>
      </c>
      <c r="AN48" s="144">
        <v>0</v>
      </c>
      <c r="AO48" s="144">
        <v>0</v>
      </c>
      <c r="AP48" s="144">
        <v>0</v>
      </c>
      <c r="AQ48" s="145">
        <v>0</v>
      </c>
    </row>
    <row r="49" spans="2:43" ht="12" customHeight="1" x14ac:dyDescent="0.3">
      <c r="B49" s="146" t="s">
        <v>43</v>
      </c>
      <c r="C49" s="147" t="s">
        <v>23</v>
      </c>
      <c r="D49" s="147" t="s">
        <v>44</v>
      </c>
      <c r="E49" s="147" t="s">
        <v>87</v>
      </c>
      <c r="F49" s="147" t="s">
        <v>25</v>
      </c>
      <c r="G49" s="147" t="s">
        <v>25</v>
      </c>
      <c r="H49" s="147" t="s">
        <v>67</v>
      </c>
      <c r="I49" s="147" t="s">
        <v>25</v>
      </c>
      <c r="J49" s="147">
        <v>0</v>
      </c>
      <c r="K49" s="147">
        <v>0</v>
      </c>
      <c r="L49" s="147">
        <v>0</v>
      </c>
      <c r="M49" s="147">
        <v>0</v>
      </c>
      <c r="N49" s="147">
        <v>0</v>
      </c>
      <c r="O49" s="147">
        <v>0</v>
      </c>
      <c r="P49" s="147">
        <v>0</v>
      </c>
      <c r="Q49" s="147">
        <v>0</v>
      </c>
      <c r="R49" s="147">
        <v>0</v>
      </c>
      <c r="S49" s="147">
        <v>0</v>
      </c>
      <c r="T49" s="147">
        <v>0</v>
      </c>
      <c r="U49" s="147">
        <v>0</v>
      </c>
      <c r="V49" s="147">
        <v>0</v>
      </c>
      <c r="W49" s="147">
        <v>0</v>
      </c>
      <c r="X49" s="147">
        <v>0</v>
      </c>
      <c r="Y49" s="147">
        <v>0</v>
      </c>
      <c r="Z49" s="147">
        <v>0</v>
      </c>
      <c r="AA49" s="147">
        <v>0</v>
      </c>
      <c r="AB49" s="147">
        <v>0</v>
      </c>
      <c r="AC49" s="147">
        <v>0</v>
      </c>
      <c r="AD49" s="147">
        <v>0</v>
      </c>
      <c r="AE49" s="147">
        <v>0</v>
      </c>
      <c r="AF49" s="147">
        <v>0</v>
      </c>
      <c r="AG49" s="147">
        <v>0</v>
      </c>
      <c r="AH49" s="147">
        <v>0</v>
      </c>
      <c r="AI49" s="147">
        <v>0</v>
      </c>
      <c r="AJ49" s="147">
        <v>0</v>
      </c>
      <c r="AK49" s="147">
        <v>0</v>
      </c>
      <c r="AL49" s="147">
        <v>0</v>
      </c>
      <c r="AM49" s="147">
        <v>0</v>
      </c>
      <c r="AN49" s="147">
        <v>0</v>
      </c>
      <c r="AO49" s="147">
        <v>0</v>
      </c>
      <c r="AP49" s="147">
        <v>0</v>
      </c>
      <c r="AQ49" s="148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2022-04-11T14:16:06Z</dcterms:created>
  <dcterms:modified xsi:type="dcterms:W3CDTF">2022-04-19T23:13:53Z</dcterms:modified>
</cp:coreProperties>
</file>